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 meetings\November meetings 2018\November 19\"/>
    </mc:Choice>
  </mc:AlternateContent>
  <xr:revisionPtr revIDLastSave="0" documentId="8_{FC5D5028-A622-4354-AEB8-75FCD43902FC}" xr6:coauthVersionLast="38" xr6:coauthVersionMax="38" xr10:uidLastSave="{00000000-0000-0000-0000-000000000000}"/>
  <bookViews>
    <workbookView xWindow="0" yWindow="0" windowWidth="12225" windowHeight="10380" activeTab="1" xr2:uid="{00000000-000D-0000-FFFF-FFFF00000000}"/>
  </bookViews>
  <sheets>
    <sheet name=" GF-SUMMARY FY19" sheetId="1" r:id="rId1"/>
    <sheet name="GF-SUMMARY FY18" sheetId="9" r:id="rId2"/>
    <sheet name="GF-DETAIL" sheetId="8" r:id="rId3"/>
    <sheet name="Fund Balance" sheetId="7" state="hidden" r:id="rId4"/>
    <sheet name="Summary-Salaries" sheetId="6" state="hidden" r:id="rId5"/>
    <sheet name="Other Funds" sheetId="5" state="hidden" r:id="rId6"/>
  </sheets>
  <externalReferences>
    <externalReference r:id="rId7"/>
  </externalReferences>
  <definedNames>
    <definedName name="_xlnm.Print_Area" localSheetId="0">' GF-SUMMARY FY19'!$A$1:$R$53</definedName>
    <definedName name="_xlnm.Print_Area" localSheetId="2">'GF-DETAIL'!$A$1:$V$621</definedName>
    <definedName name="_xlnm.Print_Area" localSheetId="1">'GF-SUMMARY FY18'!$A$1:$I$51</definedName>
    <definedName name="_xlnm.Print_Area" localSheetId="5">'Other Funds'!$A$1:$J$238</definedName>
    <definedName name="_xlnm.Print_Titles" localSheetId="0">' GF-SUMMARY FY19'!$1:$5</definedName>
    <definedName name="_xlnm.Print_Titles" localSheetId="2">'GF-DETAIL'!$1:$7</definedName>
    <definedName name="_xlnm.Print_Titles" localSheetId="1">'GF-SUMMARY FY18'!$1:$5</definedName>
    <definedName name="_xlnm.Print_Titles" localSheetId="5">'Other Funds'!$1:$4</definedName>
  </definedNames>
  <calcPr calcId="162913"/>
</workbook>
</file>

<file path=xl/calcChain.xml><?xml version="1.0" encoding="utf-8"?>
<calcChain xmlns="http://schemas.openxmlformats.org/spreadsheetml/2006/main">
  <c r="D349" i="8" l="1"/>
  <c r="E349" i="8"/>
  <c r="G29" i="9" s="1"/>
  <c r="D238" i="8"/>
  <c r="E570" i="8"/>
  <c r="E609" i="8" s="1"/>
  <c r="E612" i="8" s="1"/>
  <c r="E615" i="8" s="1"/>
  <c r="E517" i="8"/>
  <c r="E510" i="8"/>
  <c r="E258" i="8"/>
  <c r="E264" i="8" s="1"/>
  <c r="S205" i="8"/>
  <c r="U205" i="8" s="1"/>
  <c r="E222" i="8"/>
  <c r="E229" i="8"/>
  <c r="E238" i="8" s="1"/>
  <c r="E188" i="8"/>
  <c r="E186" i="8"/>
  <c r="S182" i="8"/>
  <c r="U182" i="8" s="1"/>
  <c r="E165" i="8"/>
  <c r="E169" i="8" s="1"/>
  <c r="E122" i="8"/>
  <c r="E145" i="8" s="1"/>
  <c r="H15" i="9" l="1"/>
  <c r="H14" i="9"/>
  <c r="H13" i="9"/>
  <c r="H12" i="9"/>
  <c r="H11" i="9"/>
  <c r="H10" i="9"/>
  <c r="H9" i="9"/>
  <c r="H8" i="9"/>
  <c r="H7" i="9"/>
  <c r="H16" i="9" s="1"/>
  <c r="E627" i="8"/>
  <c r="G34" i="9"/>
  <c r="G33" i="9"/>
  <c r="H33" i="9" s="1"/>
  <c r="G31" i="9"/>
  <c r="G32" i="9" s="1"/>
  <c r="I32" i="9" s="1"/>
  <c r="H29" i="9"/>
  <c r="G27" i="9"/>
  <c r="G28" i="9" s="1"/>
  <c r="I28" i="9" s="1"/>
  <c r="G25" i="9"/>
  <c r="H25" i="9" s="1"/>
  <c r="G23" i="9"/>
  <c r="G24" i="9" s="1"/>
  <c r="I24" i="9" s="1"/>
  <c r="G22" i="9"/>
  <c r="H22" i="9" s="1"/>
  <c r="G20" i="9"/>
  <c r="H20" i="9" s="1"/>
  <c r="G18" i="9"/>
  <c r="I18" i="9" s="1"/>
  <c r="I15" i="9"/>
  <c r="I14" i="9"/>
  <c r="I13" i="9"/>
  <c r="I12" i="9"/>
  <c r="I11" i="9"/>
  <c r="I10" i="9"/>
  <c r="I9" i="9"/>
  <c r="I8" i="9"/>
  <c r="I7" i="9"/>
  <c r="E16" i="9"/>
  <c r="I16" i="9" s="1"/>
  <c r="G21" i="9" l="1"/>
  <c r="H21" i="9" s="1"/>
  <c r="G26" i="9"/>
  <c r="H31" i="9"/>
  <c r="H23" i="9"/>
  <c r="G35" i="9"/>
  <c r="H18" i="9"/>
  <c r="H24" i="9"/>
  <c r="H28" i="9"/>
  <c r="H32" i="9"/>
  <c r="I33" i="9"/>
  <c r="I29" i="9"/>
  <c r="I25" i="9"/>
  <c r="I20" i="9"/>
  <c r="I22" i="9"/>
  <c r="G30" i="9"/>
  <c r="H27" i="9"/>
  <c r="H34" i="9"/>
  <c r="I31" i="9"/>
  <c r="I27" i="9"/>
  <c r="I23" i="9"/>
  <c r="I34" i="9"/>
  <c r="I21" i="9"/>
  <c r="G19" i="9"/>
  <c r="H26" i="9" l="1"/>
  <c r="I26" i="9"/>
  <c r="H30" i="9"/>
  <c r="I30" i="9"/>
  <c r="I35" i="9"/>
  <c r="H35" i="9"/>
  <c r="I19" i="9"/>
  <c r="H19" i="9"/>
  <c r="G66" i="9"/>
  <c r="E62" i="9"/>
  <c r="P33" i="1"/>
  <c r="P20" i="1"/>
  <c r="P15" i="1"/>
  <c r="P14" i="1"/>
  <c r="P11" i="1"/>
  <c r="P10" i="1"/>
  <c r="P9" i="1"/>
  <c r="P13" i="1"/>
  <c r="P12" i="1"/>
  <c r="S449" i="8"/>
  <c r="V449" i="8" s="1"/>
  <c r="S447" i="8"/>
  <c r="U447" i="8" s="1"/>
  <c r="U431" i="8"/>
  <c r="S431" i="8"/>
  <c r="S326" i="8"/>
  <c r="U326" i="8" s="1"/>
  <c r="K231" i="8"/>
  <c r="K202" i="8"/>
  <c r="S160" i="8"/>
  <c r="U160" i="8" s="1"/>
  <c r="U449" i="8" l="1"/>
  <c r="H36" i="9"/>
  <c r="G64" i="9"/>
  <c r="G62" i="9"/>
  <c r="E65" i="9"/>
  <c r="E63" i="9"/>
  <c r="G61" i="9"/>
  <c r="E64" i="9"/>
  <c r="E66" i="9"/>
  <c r="H66" i="9" s="1"/>
  <c r="E60" i="9"/>
  <c r="G63" i="9"/>
  <c r="G67" i="9"/>
  <c r="E61" i="9"/>
  <c r="E67" i="9"/>
  <c r="P25" i="1"/>
  <c r="P26" i="1" s="1"/>
  <c r="P31" i="1"/>
  <c r="P32" i="1" s="1"/>
  <c r="P22" i="1"/>
  <c r="P61" i="1" s="1"/>
  <c r="P21" i="1"/>
  <c r="P60" i="1" s="1"/>
  <c r="P23" i="1"/>
  <c r="P18" i="1"/>
  <c r="P8" i="1"/>
  <c r="I66" i="9" l="1"/>
  <c r="H62" i="9"/>
  <c r="I62" i="9"/>
  <c r="I61" i="9"/>
  <c r="H61" i="9"/>
  <c r="H64" i="9"/>
  <c r="I64" i="9"/>
  <c r="I63" i="9"/>
  <c r="H63" i="9"/>
  <c r="H67" i="9"/>
  <c r="I67" i="9"/>
  <c r="E68" i="9"/>
  <c r="G68" i="9"/>
  <c r="G36" i="9"/>
  <c r="E69" i="9"/>
  <c r="G65" i="9"/>
  <c r="G60" i="9"/>
  <c r="E39" i="9"/>
  <c r="E43" i="9" s="1"/>
  <c r="P63" i="1"/>
  <c r="P27" i="1"/>
  <c r="P19" i="1"/>
  <c r="P59" i="1" s="1"/>
  <c r="P29" i="1"/>
  <c r="P34" i="1"/>
  <c r="P66" i="1"/>
  <c r="P24" i="1"/>
  <c r="P62" i="1" s="1"/>
  <c r="P7" i="1"/>
  <c r="I65" i="9" l="1"/>
  <c r="H65" i="9"/>
  <c r="I60" i="9"/>
  <c r="H60" i="9"/>
  <c r="I68" i="9"/>
  <c r="H68" i="9"/>
  <c r="G39" i="9"/>
  <c r="G43" i="9" s="1"/>
  <c r="I36" i="9"/>
  <c r="G69" i="9"/>
  <c r="P28" i="1"/>
  <c r="P64" i="1" s="1"/>
  <c r="P30" i="1"/>
  <c r="P65" i="1" s="1"/>
  <c r="P35" i="1"/>
  <c r="P67" i="1" s="1"/>
  <c r="I43" i="9" l="1"/>
  <c r="H43" i="9"/>
  <c r="I69" i="9"/>
  <c r="H69" i="9"/>
  <c r="I39" i="9"/>
  <c r="H39" i="9"/>
  <c r="P68" i="1"/>
  <c r="E15" i="1" l="1"/>
  <c r="E13" i="1"/>
  <c r="S134" i="8" l="1"/>
  <c r="S133" i="8"/>
  <c r="S129" i="8"/>
  <c r="S128" i="8"/>
  <c r="S125" i="8"/>
  <c r="S124" i="8"/>
  <c r="S121" i="8"/>
  <c r="S120" i="8"/>
  <c r="S119" i="8"/>
  <c r="S118" i="8"/>
  <c r="S117" i="8"/>
  <c r="S116" i="8"/>
  <c r="S115" i="8"/>
  <c r="S114" i="8"/>
  <c r="S113" i="8"/>
  <c r="S112" i="8"/>
  <c r="S111" i="8"/>
  <c r="S109" i="8"/>
  <c r="S9" i="8"/>
  <c r="S442" i="8"/>
  <c r="J331" i="8"/>
  <c r="J328" i="8"/>
  <c r="S371" i="8"/>
  <c r="S243" i="8"/>
  <c r="S194" i="8"/>
  <c r="S193" i="8"/>
  <c r="K150" i="8"/>
  <c r="G132" i="8"/>
  <c r="S127" i="8"/>
  <c r="S126" i="8"/>
  <c r="S103" i="8"/>
  <c r="S132" i="8" l="1"/>
  <c r="S130" i="8"/>
  <c r="U371" i="8"/>
  <c r="S65" i="8"/>
  <c r="U65" i="8" s="1"/>
  <c r="I110" i="8" l="1"/>
  <c r="J437" i="8" l="1"/>
  <c r="J429" i="8"/>
  <c r="J425" i="8"/>
  <c r="J432" i="8"/>
  <c r="I19" i="8" l="1"/>
  <c r="H249" i="8" l="1"/>
  <c r="H250" i="8"/>
  <c r="H234" i="8"/>
  <c r="G234" i="8" s="1"/>
  <c r="H202" i="8"/>
  <c r="G202" i="8" s="1"/>
  <c r="H110" i="8"/>
  <c r="H307" i="8" l="1"/>
  <c r="H283" i="8"/>
  <c r="G463" i="8"/>
  <c r="H500" i="8"/>
  <c r="H550" i="8"/>
  <c r="H586" i="8"/>
  <c r="S542" i="8"/>
  <c r="S214" i="8"/>
  <c r="U542" i="8" l="1"/>
  <c r="U214" i="8"/>
  <c r="P16" i="1"/>
  <c r="H122" i="8"/>
  <c r="H578" i="8"/>
  <c r="H545" i="8"/>
  <c r="L15" i="1"/>
  <c r="H15" i="1" s="1"/>
  <c r="L13" i="1"/>
  <c r="H13" i="1" s="1"/>
  <c r="S198" i="8" l="1"/>
  <c r="U198" i="8" s="1"/>
  <c r="G231" i="8"/>
  <c r="G224" i="8"/>
  <c r="G220" i="8"/>
  <c r="G206" i="8"/>
  <c r="G155" i="8"/>
  <c r="S582" i="8"/>
  <c r="S540" i="8"/>
  <c r="S539" i="8"/>
  <c r="S538" i="8"/>
  <c r="S543" i="8"/>
  <c r="S535" i="8"/>
  <c r="S513" i="8"/>
  <c r="U513" i="8" s="1"/>
  <c r="S508" i="8"/>
  <c r="V333" i="8"/>
  <c r="U333" i="8"/>
  <c r="S303" i="8"/>
  <c r="S302" i="8"/>
  <c r="S301" i="8"/>
  <c r="S300" i="8"/>
  <c r="S271" i="8"/>
  <c r="S295" i="8"/>
  <c r="S78" i="8"/>
  <c r="G94" i="8"/>
  <c r="S94" i="8" s="1"/>
  <c r="S73" i="8"/>
  <c r="V73" i="8" s="1"/>
  <c r="S88" i="8"/>
  <c r="U543" i="8" l="1"/>
  <c r="U538" i="8"/>
  <c r="U540" i="8"/>
  <c r="U539" i="8"/>
  <c r="U535" i="8"/>
  <c r="V271" i="8"/>
  <c r="U582" i="8"/>
  <c r="V198" i="8"/>
  <c r="V543" i="8"/>
  <c r="U508" i="8"/>
  <c r="V508" i="8"/>
  <c r="V442" i="8"/>
  <c r="U442" i="8"/>
  <c r="U295" i="8"/>
  <c r="U271" i="8"/>
  <c r="V88" i="8"/>
  <c r="U88" i="8"/>
  <c r="U73" i="8"/>
  <c r="S514" i="8" l="1"/>
  <c r="S512" i="8"/>
  <c r="S231" i="8"/>
  <c r="S235" i="8"/>
  <c r="S234" i="8"/>
  <c r="S228" i="8"/>
  <c r="S226" i="8"/>
  <c r="S225" i="8"/>
  <c r="S224" i="8"/>
  <c r="S221" i="8"/>
  <c r="S220" i="8"/>
  <c r="S219" i="8"/>
  <c r="S218" i="8"/>
  <c r="S217" i="8"/>
  <c r="S216" i="8"/>
  <c r="S215" i="8"/>
  <c r="S213" i="8"/>
  <c r="S212" i="8"/>
  <c r="S211" i="8"/>
  <c r="S210" i="8"/>
  <c r="S209" i="8"/>
  <c r="S208" i="8"/>
  <c r="S206" i="8"/>
  <c r="S204" i="8"/>
  <c r="S203" i="8"/>
  <c r="S202" i="8"/>
  <c r="S197" i="8"/>
  <c r="S196" i="8"/>
  <c r="Q451" i="8"/>
  <c r="R451" i="8"/>
  <c r="Q477" i="8"/>
  <c r="R477" i="8"/>
  <c r="Q485" i="8"/>
  <c r="R485" i="8"/>
  <c r="Q502" i="8"/>
  <c r="R502" i="8"/>
  <c r="Q510" i="8"/>
  <c r="R510" i="8"/>
  <c r="R515" i="8"/>
  <c r="Q545" i="8"/>
  <c r="R545" i="8"/>
  <c r="Q349" i="8"/>
  <c r="R349" i="8"/>
  <c r="R570" i="8"/>
  <c r="Q317" i="8"/>
  <c r="Q311" i="8"/>
  <c r="Q304" i="8"/>
  <c r="R304" i="8"/>
  <c r="Q298" i="8"/>
  <c r="P276" i="8"/>
  <c r="Q276" i="8"/>
  <c r="S207" i="8"/>
  <c r="Q229" i="8"/>
  <c r="R229" i="8"/>
  <c r="Q222" i="8"/>
  <c r="Q200" i="8"/>
  <c r="R200" i="8"/>
  <c r="Q152" i="8"/>
  <c r="R152" i="8"/>
  <c r="P107" i="8"/>
  <c r="Q107" i="8"/>
  <c r="P122" i="8"/>
  <c r="Q122" i="8"/>
  <c r="P130" i="8"/>
  <c r="Q130" i="8"/>
  <c r="P135" i="8"/>
  <c r="Q135" i="8"/>
  <c r="P140" i="8"/>
  <c r="Q140" i="8"/>
  <c r="P143" i="8"/>
  <c r="Q143" i="8"/>
  <c r="R143" i="8"/>
  <c r="R107" i="8"/>
  <c r="S85" i="8"/>
  <c r="P91" i="8"/>
  <c r="Q91" i="8"/>
  <c r="R91" i="8"/>
  <c r="P75" i="8"/>
  <c r="Q75" i="8"/>
  <c r="R75" i="8"/>
  <c r="P67" i="8"/>
  <c r="Q67" i="8"/>
  <c r="P28" i="8"/>
  <c r="Q28" i="8"/>
  <c r="P35" i="8"/>
  <c r="Q35" i="8"/>
  <c r="O52" i="8"/>
  <c r="P52" i="8"/>
  <c r="Q52" i="8"/>
  <c r="R67" i="8"/>
  <c r="R52" i="8"/>
  <c r="R35" i="8"/>
  <c r="R28" i="8"/>
  <c r="P17" i="8"/>
  <c r="Q17" i="8"/>
  <c r="R17" i="8"/>
  <c r="Q236" i="8"/>
  <c r="Q165" i="8"/>
  <c r="Q169" i="8" s="1"/>
  <c r="Q186" i="8"/>
  <c r="Q188" i="8" s="1"/>
  <c r="R186" i="8"/>
  <c r="R188" i="8" s="1"/>
  <c r="Q251" i="8"/>
  <c r="Q258" i="8"/>
  <c r="Q262" i="8"/>
  <c r="Q373" i="8"/>
  <c r="Q381" i="8"/>
  <c r="Q394" i="8"/>
  <c r="Q406" i="8"/>
  <c r="Q526" i="8"/>
  <c r="Q570" i="8"/>
  <c r="Q578" i="8"/>
  <c r="Q604" i="8"/>
  <c r="R236" i="8"/>
  <c r="R596" i="8"/>
  <c r="V207" i="8" l="1"/>
  <c r="Q623" i="8"/>
  <c r="R624" i="8"/>
  <c r="Q621" i="8"/>
  <c r="Q619" i="8"/>
  <c r="Q620" i="8"/>
  <c r="R619" i="8"/>
  <c r="Q238" i="8"/>
  <c r="Q319" i="8"/>
  <c r="Q410" i="8"/>
  <c r="U85" i="8"/>
  <c r="Q264" i="8"/>
  <c r="R222" i="8"/>
  <c r="R317" i="8"/>
  <c r="R298" i="8"/>
  <c r="R311" i="8"/>
  <c r="R276" i="8"/>
  <c r="R130" i="8"/>
  <c r="R140" i="8"/>
  <c r="R135" i="8"/>
  <c r="Q145" i="8"/>
  <c r="R373" i="8"/>
  <c r="R381" i="8"/>
  <c r="Q96" i="8"/>
  <c r="R96" i="8"/>
  <c r="R165" i="8"/>
  <c r="R169" i="8" s="1"/>
  <c r="R406" i="8"/>
  <c r="R526" i="8"/>
  <c r="R258" i="8"/>
  <c r="R262" i="8"/>
  <c r="R394" i="8"/>
  <c r="R578" i="8"/>
  <c r="R604" i="8"/>
  <c r="R251" i="8"/>
  <c r="U9" i="8"/>
  <c r="S10" i="8"/>
  <c r="S11" i="8"/>
  <c r="V11" i="8" s="1"/>
  <c r="S12" i="8"/>
  <c r="U12" i="8" s="1"/>
  <c r="S13" i="8"/>
  <c r="S14" i="8"/>
  <c r="S15" i="8"/>
  <c r="V15" i="8" s="1"/>
  <c r="S16" i="8"/>
  <c r="V16" i="8" s="1"/>
  <c r="G17" i="8"/>
  <c r="H17" i="8"/>
  <c r="I17" i="8"/>
  <c r="J17" i="8"/>
  <c r="K17" i="8"/>
  <c r="L17" i="8"/>
  <c r="E7" i="1" s="1"/>
  <c r="M17" i="8"/>
  <c r="N17" i="8"/>
  <c r="O17" i="8"/>
  <c r="T17" i="8"/>
  <c r="L7" i="1" s="1"/>
  <c r="H7" i="1" s="1"/>
  <c r="S19" i="8"/>
  <c r="S20" i="8"/>
  <c r="U20" i="8" s="1"/>
  <c r="S21" i="8"/>
  <c r="U21" i="8" s="1"/>
  <c r="S22" i="8"/>
  <c r="S23" i="8"/>
  <c r="V23" i="8" s="1"/>
  <c r="S24" i="8"/>
  <c r="U24" i="8" s="1"/>
  <c r="S25" i="8"/>
  <c r="V25" i="8" s="1"/>
  <c r="S26" i="8"/>
  <c r="S27" i="8"/>
  <c r="V27" i="8" s="1"/>
  <c r="G28" i="8"/>
  <c r="H28" i="8"/>
  <c r="I28" i="8"/>
  <c r="J28" i="8"/>
  <c r="K28" i="8"/>
  <c r="L28" i="8"/>
  <c r="E8" i="1" s="1"/>
  <c r="M28" i="8"/>
  <c r="N28" i="8"/>
  <c r="O28" i="8"/>
  <c r="T28" i="8"/>
  <c r="L8" i="1" s="1"/>
  <c r="H8" i="1" s="1"/>
  <c r="S31" i="8"/>
  <c r="S32" i="8"/>
  <c r="V32" i="8" s="1"/>
  <c r="S33" i="8"/>
  <c r="U33" i="8" s="1"/>
  <c r="S34" i="8"/>
  <c r="V34" i="8" s="1"/>
  <c r="G35" i="8"/>
  <c r="H35" i="8"/>
  <c r="I35" i="8"/>
  <c r="J35" i="8"/>
  <c r="K35" i="8"/>
  <c r="L35" i="8"/>
  <c r="E9" i="1" s="1"/>
  <c r="M35" i="8"/>
  <c r="N35" i="8"/>
  <c r="O35" i="8"/>
  <c r="T35" i="8"/>
  <c r="L9" i="1" s="1"/>
  <c r="H9" i="1" s="1"/>
  <c r="S37" i="8"/>
  <c r="V37" i="8" s="1"/>
  <c r="S38" i="8"/>
  <c r="U38" i="8" s="1"/>
  <c r="S39" i="8"/>
  <c r="S40" i="8"/>
  <c r="S41" i="8"/>
  <c r="U41" i="8" s="1"/>
  <c r="S42" i="8"/>
  <c r="U42" i="8" s="1"/>
  <c r="S43" i="8"/>
  <c r="S44" i="8"/>
  <c r="V44" i="8" s="1"/>
  <c r="S45" i="8"/>
  <c r="U45" i="8" s="1"/>
  <c r="S46" i="8"/>
  <c r="U46" i="8" s="1"/>
  <c r="S47" i="8"/>
  <c r="S48" i="8"/>
  <c r="V48" i="8" s="1"/>
  <c r="S49" i="8"/>
  <c r="U49" i="8" s="1"/>
  <c r="S50" i="8"/>
  <c r="U50" i="8" s="1"/>
  <c r="S51" i="8"/>
  <c r="G52" i="8"/>
  <c r="H52" i="8"/>
  <c r="I52" i="8"/>
  <c r="J52" i="8"/>
  <c r="K52" i="8"/>
  <c r="L52" i="8"/>
  <c r="E10" i="1" s="1"/>
  <c r="M52" i="8"/>
  <c r="N52" i="8"/>
  <c r="P96" i="8"/>
  <c r="T52" i="8"/>
  <c r="L10" i="1" s="1"/>
  <c r="H10" i="1" s="1"/>
  <c r="S55" i="8"/>
  <c r="S56" i="8"/>
  <c r="S57" i="8"/>
  <c r="S58" i="8"/>
  <c r="U58" i="8" s="1"/>
  <c r="S59" i="8"/>
  <c r="U59" i="8" s="1"/>
  <c r="S60" i="8"/>
  <c r="S61" i="8"/>
  <c r="S62" i="8"/>
  <c r="U62" i="8" s="1"/>
  <c r="S63" i="8"/>
  <c r="U63" i="8" s="1"/>
  <c r="S64" i="8"/>
  <c r="S66" i="8"/>
  <c r="V66" i="8" s="1"/>
  <c r="G67" i="8"/>
  <c r="H67" i="8"/>
  <c r="I67" i="8"/>
  <c r="J67" i="8"/>
  <c r="K67" i="8"/>
  <c r="L67" i="8"/>
  <c r="E11" i="1" s="1"/>
  <c r="M67" i="8"/>
  <c r="N67" i="8"/>
  <c r="O67" i="8"/>
  <c r="T67" i="8"/>
  <c r="L11" i="1" s="1"/>
  <c r="H11" i="1" s="1"/>
  <c r="S70" i="8"/>
  <c r="S71" i="8"/>
  <c r="V71" i="8" s="1"/>
  <c r="S72" i="8"/>
  <c r="U72" i="8" s="1"/>
  <c r="S74" i="8"/>
  <c r="U74" i="8" s="1"/>
  <c r="G75" i="8"/>
  <c r="H75" i="8"/>
  <c r="I75" i="8"/>
  <c r="J75" i="8"/>
  <c r="K75" i="8"/>
  <c r="L75" i="8"/>
  <c r="E12" i="1" s="1"/>
  <c r="M75" i="8"/>
  <c r="N75" i="8"/>
  <c r="O75" i="8"/>
  <c r="T75" i="8"/>
  <c r="L12" i="1" s="1"/>
  <c r="H12" i="1" s="1"/>
  <c r="S81" i="8"/>
  <c r="S82" i="8"/>
  <c r="S83" i="8"/>
  <c r="V83" i="8" s="1"/>
  <c r="S84" i="8"/>
  <c r="U84" i="8" s="1"/>
  <c r="S86" i="8"/>
  <c r="U86" i="8" s="1"/>
  <c r="S87" i="8"/>
  <c r="S89" i="8"/>
  <c r="S90" i="8"/>
  <c r="V90" i="8" s="1"/>
  <c r="G91" i="8"/>
  <c r="H91" i="8"/>
  <c r="I91" i="8"/>
  <c r="J91" i="8"/>
  <c r="K91" i="8"/>
  <c r="L91" i="8"/>
  <c r="E14" i="1" s="1"/>
  <c r="M91" i="8"/>
  <c r="N91" i="8"/>
  <c r="O91" i="8"/>
  <c r="T91" i="8"/>
  <c r="L14" i="1" s="1"/>
  <c r="H14" i="1" s="1"/>
  <c r="U94" i="8"/>
  <c r="S104" i="8"/>
  <c r="V104" i="8" s="1"/>
  <c r="S105" i="8"/>
  <c r="V105" i="8" s="1"/>
  <c r="S106" i="8"/>
  <c r="V106" i="8" s="1"/>
  <c r="G107" i="8"/>
  <c r="H107" i="8"/>
  <c r="I107" i="8"/>
  <c r="J107" i="8"/>
  <c r="K107" i="8"/>
  <c r="L107" i="8"/>
  <c r="M107" i="8"/>
  <c r="N107" i="8"/>
  <c r="O107" i="8"/>
  <c r="T107" i="8"/>
  <c r="U109" i="8"/>
  <c r="V112" i="8"/>
  <c r="U114" i="8"/>
  <c r="V116" i="8"/>
  <c r="U117" i="8"/>
  <c r="V118" i="8"/>
  <c r="U121" i="8"/>
  <c r="G122" i="8"/>
  <c r="I122" i="8"/>
  <c r="K122" i="8"/>
  <c r="L122" i="8"/>
  <c r="M122" i="8"/>
  <c r="N122" i="8"/>
  <c r="O122" i="8"/>
  <c r="T122" i="8"/>
  <c r="V124" i="8"/>
  <c r="U125" i="8"/>
  <c r="V126" i="8"/>
  <c r="G130" i="8"/>
  <c r="H130" i="8"/>
  <c r="I130" i="8"/>
  <c r="J130" i="8"/>
  <c r="K130" i="8"/>
  <c r="L130" i="8"/>
  <c r="E18" i="1" s="1"/>
  <c r="M130" i="8"/>
  <c r="N130" i="8"/>
  <c r="O130" i="8"/>
  <c r="T130" i="8"/>
  <c r="V133" i="8"/>
  <c r="V134" i="8"/>
  <c r="G135" i="8"/>
  <c r="H135" i="8"/>
  <c r="I135" i="8"/>
  <c r="J135" i="8"/>
  <c r="K135" i="8"/>
  <c r="L135" i="8"/>
  <c r="M135" i="8"/>
  <c r="N135" i="8"/>
  <c r="O135" i="8"/>
  <c r="T135" i="8"/>
  <c r="S137" i="8"/>
  <c r="S138" i="8"/>
  <c r="S139" i="8"/>
  <c r="U139" i="8" s="1"/>
  <c r="G140" i="8"/>
  <c r="H140" i="8"/>
  <c r="I140" i="8"/>
  <c r="J140" i="8"/>
  <c r="K140" i="8"/>
  <c r="L140" i="8"/>
  <c r="M140" i="8"/>
  <c r="N140" i="8"/>
  <c r="O140" i="8"/>
  <c r="T140" i="8"/>
  <c r="S142" i="8"/>
  <c r="G143" i="8"/>
  <c r="H143" i="8"/>
  <c r="I143" i="8"/>
  <c r="J143" i="8"/>
  <c r="K143" i="8"/>
  <c r="L143" i="8"/>
  <c r="M143" i="8"/>
  <c r="N143" i="8"/>
  <c r="O143" i="8"/>
  <c r="P145" i="8"/>
  <c r="T143" i="8"/>
  <c r="S150" i="8"/>
  <c r="V150" i="8" s="1"/>
  <c r="S151" i="8"/>
  <c r="V151" i="8" s="1"/>
  <c r="G152" i="8"/>
  <c r="H152" i="8"/>
  <c r="I152" i="8"/>
  <c r="J152" i="8"/>
  <c r="K152" i="8"/>
  <c r="L152" i="8"/>
  <c r="E20" i="1" s="1"/>
  <c r="M152" i="8"/>
  <c r="N152" i="8"/>
  <c r="O152" i="8"/>
  <c r="P152" i="8"/>
  <c r="T152" i="8"/>
  <c r="L20" i="1" s="1"/>
  <c r="S154" i="8"/>
  <c r="S155" i="8"/>
  <c r="S156" i="8"/>
  <c r="S157" i="8"/>
  <c r="S158" i="8"/>
  <c r="S159" i="8"/>
  <c r="S161" i="8"/>
  <c r="S162" i="8"/>
  <c r="S163" i="8"/>
  <c r="S164" i="8"/>
  <c r="G165" i="8"/>
  <c r="H165" i="8"/>
  <c r="I165" i="8"/>
  <c r="J165" i="8"/>
  <c r="K165" i="8"/>
  <c r="L165" i="8"/>
  <c r="M165" i="8"/>
  <c r="N165" i="8"/>
  <c r="O165" i="8"/>
  <c r="P165" i="8"/>
  <c r="T165" i="8"/>
  <c r="S167" i="8"/>
  <c r="S173" i="8"/>
  <c r="S174" i="8"/>
  <c r="S175" i="8"/>
  <c r="U175" i="8" s="1"/>
  <c r="S176" i="8"/>
  <c r="G177" i="8"/>
  <c r="H177" i="8"/>
  <c r="I177" i="8"/>
  <c r="J177" i="8"/>
  <c r="K177" i="8"/>
  <c r="L177" i="8"/>
  <c r="M177" i="8"/>
  <c r="N177" i="8"/>
  <c r="O177" i="8"/>
  <c r="P177" i="8"/>
  <c r="S180" i="8"/>
  <c r="S181" i="8"/>
  <c r="S183" i="8"/>
  <c r="U183" i="8" s="1"/>
  <c r="S184" i="8"/>
  <c r="U184" i="8" s="1"/>
  <c r="S185" i="8"/>
  <c r="G186" i="8"/>
  <c r="H186" i="8"/>
  <c r="I186" i="8"/>
  <c r="J186" i="8"/>
  <c r="K186" i="8"/>
  <c r="L186" i="8"/>
  <c r="M186" i="8"/>
  <c r="N186" i="8"/>
  <c r="O186" i="8"/>
  <c r="P186" i="8"/>
  <c r="T186" i="8"/>
  <c r="T188" i="8" s="1"/>
  <c r="L22" i="1" s="1"/>
  <c r="U193" i="8"/>
  <c r="U194" i="8"/>
  <c r="V194" i="8"/>
  <c r="S195" i="8"/>
  <c r="V196" i="8"/>
  <c r="U197" i="8"/>
  <c r="V197" i="8"/>
  <c r="S199" i="8"/>
  <c r="G200" i="8"/>
  <c r="H200" i="8"/>
  <c r="I200" i="8"/>
  <c r="J200" i="8"/>
  <c r="K200" i="8"/>
  <c r="L200" i="8"/>
  <c r="M200" i="8"/>
  <c r="N200" i="8"/>
  <c r="O200" i="8"/>
  <c r="P200" i="8"/>
  <c r="T200" i="8"/>
  <c r="U202" i="8"/>
  <c r="V203" i="8"/>
  <c r="V206" i="8"/>
  <c r="U207" i="8"/>
  <c r="V209" i="8"/>
  <c r="V210" i="8"/>
  <c r="V211" i="8"/>
  <c r="V213" i="8"/>
  <c r="V216" i="8"/>
  <c r="V218" i="8"/>
  <c r="U219" i="8"/>
  <c r="V220" i="8"/>
  <c r="G222" i="8"/>
  <c r="H222" i="8"/>
  <c r="I222" i="8"/>
  <c r="J222" i="8"/>
  <c r="K222" i="8"/>
  <c r="L222" i="8"/>
  <c r="M222" i="8"/>
  <c r="N222" i="8"/>
  <c r="O222" i="8"/>
  <c r="P222" i="8"/>
  <c r="T222" i="8"/>
  <c r="V224" i="8"/>
  <c r="V226" i="8"/>
  <c r="S227" i="8"/>
  <c r="G229" i="8"/>
  <c r="H229" i="8"/>
  <c r="I229" i="8"/>
  <c r="J229" i="8"/>
  <c r="K229" i="8"/>
  <c r="L229" i="8"/>
  <c r="M229" i="8"/>
  <c r="O229" i="8"/>
  <c r="P229" i="8"/>
  <c r="T229" i="8"/>
  <c r="V231" i="8"/>
  <c r="V235" i="8"/>
  <c r="G236" i="8"/>
  <c r="H236" i="8"/>
  <c r="I236" i="8"/>
  <c r="J236" i="8"/>
  <c r="K236" i="8"/>
  <c r="L236" i="8"/>
  <c r="M236" i="8"/>
  <c r="N236" i="8"/>
  <c r="O236" i="8"/>
  <c r="P236" i="8"/>
  <c r="T236" i="8"/>
  <c r="S246" i="8"/>
  <c r="V246" i="8" s="1"/>
  <c r="S247" i="8"/>
  <c r="U247" i="8" s="1"/>
  <c r="S248" i="8"/>
  <c r="U248" i="8" s="1"/>
  <c r="S249" i="8"/>
  <c r="S250" i="8"/>
  <c r="G251" i="8"/>
  <c r="H251" i="8"/>
  <c r="I251" i="8"/>
  <c r="J251" i="8"/>
  <c r="K251" i="8"/>
  <c r="L251" i="8"/>
  <c r="M251" i="8"/>
  <c r="N251" i="8"/>
  <c r="O251" i="8"/>
  <c r="P251" i="8"/>
  <c r="T251" i="8"/>
  <c r="S254" i="8"/>
  <c r="S255" i="8"/>
  <c r="V255" i="8" s="1"/>
  <c r="S256" i="8"/>
  <c r="U256" i="8" s="1"/>
  <c r="S257" i="8"/>
  <c r="V257" i="8" s="1"/>
  <c r="G258" i="8"/>
  <c r="H258" i="8"/>
  <c r="I258" i="8"/>
  <c r="J258" i="8"/>
  <c r="K258" i="8"/>
  <c r="L258" i="8"/>
  <c r="E25" i="1" s="1"/>
  <c r="M258" i="8"/>
  <c r="N258" i="8"/>
  <c r="O258" i="8"/>
  <c r="P258" i="8"/>
  <c r="T258" i="8"/>
  <c r="L25" i="1" s="1"/>
  <c r="S260" i="8"/>
  <c r="U260" i="8" s="1"/>
  <c r="S261" i="8"/>
  <c r="G262" i="8"/>
  <c r="H262" i="8"/>
  <c r="I262" i="8"/>
  <c r="J262" i="8"/>
  <c r="K262" i="8"/>
  <c r="L262" i="8"/>
  <c r="M262" i="8"/>
  <c r="N262" i="8"/>
  <c r="O262" i="8"/>
  <c r="P262" i="8"/>
  <c r="T262" i="8"/>
  <c r="S270" i="8"/>
  <c r="S272" i="8"/>
  <c r="S273" i="8"/>
  <c r="S274" i="8"/>
  <c r="S275" i="8"/>
  <c r="G276" i="8"/>
  <c r="H276" i="8"/>
  <c r="I276" i="8"/>
  <c r="J276" i="8"/>
  <c r="K276" i="8"/>
  <c r="L276" i="8"/>
  <c r="M276" i="8"/>
  <c r="N276" i="8"/>
  <c r="O276" i="8"/>
  <c r="T276" i="8"/>
  <c r="S279" i="8"/>
  <c r="S280" i="8"/>
  <c r="S281" i="8"/>
  <c r="S282" i="8"/>
  <c r="S283" i="8"/>
  <c r="S284" i="8"/>
  <c r="S285" i="8"/>
  <c r="S286" i="8"/>
  <c r="S287" i="8"/>
  <c r="S288" i="8"/>
  <c r="S289" i="8"/>
  <c r="S290" i="8"/>
  <c r="S291" i="8"/>
  <c r="S292" i="8"/>
  <c r="S293" i="8"/>
  <c r="S294" i="8"/>
  <c r="S296" i="8"/>
  <c r="S297" i="8"/>
  <c r="G298" i="8"/>
  <c r="H298" i="8"/>
  <c r="I298" i="8"/>
  <c r="J298" i="8"/>
  <c r="K298" i="8"/>
  <c r="L298" i="8"/>
  <c r="M298" i="8"/>
  <c r="N298" i="8"/>
  <c r="O298" i="8"/>
  <c r="P298" i="8"/>
  <c r="T298" i="8"/>
  <c r="V303" i="8"/>
  <c r="G304" i="8"/>
  <c r="H304" i="8"/>
  <c r="I304" i="8"/>
  <c r="J304" i="8"/>
  <c r="K304" i="8"/>
  <c r="L304" i="8"/>
  <c r="M304" i="8"/>
  <c r="N304" i="8"/>
  <c r="O304" i="8"/>
  <c r="P304" i="8"/>
  <c r="T304" i="8"/>
  <c r="S306" i="8"/>
  <c r="S308" i="8"/>
  <c r="S309" i="8"/>
  <c r="S310" i="8"/>
  <c r="V310" i="8" s="1"/>
  <c r="G311" i="8"/>
  <c r="H311" i="8"/>
  <c r="J311" i="8"/>
  <c r="K311" i="8"/>
  <c r="L311" i="8"/>
  <c r="M311" i="8"/>
  <c r="N311" i="8"/>
  <c r="O311" i="8"/>
  <c r="P311" i="8"/>
  <c r="T311" i="8"/>
  <c r="S314" i="8"/>
  <c r="S315" i="8"/>
  <c r="V315" i="8" s="1"/>
  <c r="S316" i="8"/>
  <c r="V316" i="8" s="1"/>
  <c r="G317" i="8"/>
  <c r="H317" i="8"/>
  <c r="I317" i="8"/>
  <c r="J317" i="8"/>
  <c r="K317" i="8"/>
  <c r="L317" i="8"/>
  <c r="M317" i="8"/>
  <c r="N317" i="8"/>
  <c r="O317" i="8"/>
  <c r="P317" i="8"/>
  <c r="T317" i="8"/>
  <c r="S327" i="8"/>
  <c r="S328" i="8"/>
  <c r="S329" i="8"/>
  <c r="S330" i="8"/>
  <c r="S331" i="8"/>
  <c r="S332" i="8"/>
  <c r="S334" i="8"/>
  <c r="S335" i="8"/>
  <c r="S336" i="8"/>
  <c r="S337" i="8"/>
  <c r="S338" i="8"/>
  <c r="S339" i="8"/>
  <c r="S340" i="8"/>
  <c r="S341" i="8"/>
  <c r="S342" i="8"/>
  <c r="S343" i="8"/>
  <c r="S344" i="8"/>
  <c r="S345" i="8"/>
  <c r="S346" i="8"/>
  <c r="S347" i="8"/>
  <c r="S348" i="8"/>
  <c r="H349" i="8"/>
  <c r="I349" i="8"/>
  <c r="J349" i="8"/>
  <c r="K349" i="8"/>
  <c r="L349" i="8"/>
  <c r="M349" i="8"/>
  <c r="O349" i="8"/>
  <c r="P349" i="8"/>
  <c r="T349" i="8"/>
  <c r="S352" i="8"/>
  <c r="S353" i="8"/>
  <c r="S354" i="8"/>
  <c r="S355" i="8"/>
  <c r="S356" i="8"/>
  <c r="S357" i="8"/>
  <c r="S358" i="8"/>
  <c r="S359" i="8"/>
  <c r="S360" i="8"/>
  <c r="S361" i="8"/>
  <c r="S362" i="8"/>
  <c r="S363" i="8"/>
  <c r="S364" i="8"/>
  <c r="S365" i="8"/>
  <c r="S366" i="8"/>
  <c r="S367" i="8"/>
  <c r="S368" i="8"/>
  <c r="S369" i="8"/>
  <c r="S370" i="8"/>
  <c r="S372" i="8"/>
  <c r="G373" i="8"/>
  <c r="H373" i="8"/>
  <c r="I373" i="8"/>
  <c r="J373" i="8"/>
  <c r="K373" i="8"/>
  <c r="L373" i="8"/>
  <c r="M373" i="8"/>
  <c r="N373" i="8"/>
  <c r="O373" i="8"/>
  <c r="P373" i="8"/>
  <c r="T373" i="8"/>
  <c r="S375" i="8"/>
  <c r="S376" i="8"/>
  <c r="S377" i="8"/>
  <c r="S378" i="8"/>
  <c r="S379" i="8"/>
  <c r="S380" i="8"/>
  <c r="G381" i="8"/>
  <c r="H381" i="8"/>
  <c r="I381" i="8"/>
  <c r="J381" i="8"/>
  <c r="K381" i="8"/>
  <c r="L381" i="8"/>
  <c r="M381" i="8"/>
  <c r="O381" i="8"/>
  <c r="P381" i="8"/>
  <c r="T381" i="8"/>
  <c r="S383" i="8"/>
  <c r="S384" i="8"/>
  <c r="S385" i="8"/>
  <c r="S386" i="8"/>
  <c r="S387" i="8"/>
  <c r="S388" i="8"/>
  <c r="S389" i="8"/>
  <c r="S390" i="8"/>
  <c r="S391" i="8"/>
  <c r="S392" i="8"/>
  <c r="S393" i="8"/>
  <c r="G394" i="8"/>
  <c r="H394" i="8"/>
  <c r="I394" i="8"/>
  <c r="J394" i="8"/>
  <c r="K394" i="8"/>
  <c r="L394" i="8"/>
  <c r="M394" i="8"/>
  <c r="N394" i="8"/>
  <c r="O394" i="8"/>
  <c r="P394" i="8"/>
  <c r="T394" i="8"/>
  <c r="S397" i="8"/>
  <c r="S398" i="8"/>
  <c r="S399" i="8"/>
  <c r="S400" i="8"/>
  <c r="S401" i="8"/>
  <c r="S402" i="8"/>
  <c r="S403" i="8"/>
  <c r="S404" i="8"/>
  <c r="S405" i="8"/>
  <c r="G406" i="8"/>
  <c r="H406" i="8"/>
  <c r="I406" i="8"/>
  <c r="J406" i="8"/>
  <c r="K406" i="8"/>
  <c r="L406" i="8"/>
  <c r="M406" i="8"/>
  <c r="N406" i="8"/>
  <c r="O406" i="8"/>
  <c r="P406" i="8"/>
  <c r="T406" i="8"/>
  <c r="S408" i="8"/>
  <c r="V408" i="8" s="1"/>
  <c r="S415" i="8"/>
  <c r="S416" i="8"/>
  <c r="S417" i="8"/>
  <c r="S418" i="8"/>
  <c r="S419" i="8"/>
  <c r="S420" i="8"/>
  <c r="S421" i="8"/>
  <c r="S422" i="8"/>
  <c r="S423" i="8"/>
  <c r="S424" i="8"/>
  <c r="S425" i="8"/>
  <c r="S426" i="8"/>
  <c r="S427" i="8"/>
  <c r="S428" i="8"/>
  <c r="S429" i="8"/>
  <c r="S430" i="8"/>
  <c r="S432" i="8"/>
  <c r="S433" i="8"/>
  <c r="S434" i="8"/>
  <c r="S435" i="8"/>
  <c r="S436" i="8"/>
  <c r="S437" i="8"/>
  <c r="S438" i="8"/>
  <c r="S439" i="8"/>
  <c r="S440" i="8"/>
  <c r="S441" i="8"/>
  <c r="S443" i="8"/>
  <c r="S444" i="8"/>
  <c r="S445" i="8"/>
  <c r="S446" i="8"/>
  <c r="S448" i="8"/>
  <c r="S450" i="8"/>
  <c r="G451" i="8"/>
  <c r="H451" i="8"/>
  <c r="H619" i="8" s="1"/>
  <c r="I451" i="8"/>
  <c r="J451" i="8"/>
  <c r="K451" i="8"/>
  <c r="L451" i="8"/>
  <c r="M451" i="8"/>
  <c r="N451" i="8"/>
  <c r="O451" i="8"/>
  <c r="P451" i="8"/>
  <c r="T451" i="8"/>
  <c r="S454" i="8"/>
  <c r="S455" i="8"/>
  <c r="S456" i="8"/>
  <c r="S457" i="8"/>
  <c r="V457" i="8" s="1"/>
  <c r="S458" i="8"/>
  <c r="U458" i="8" s="1"/>
  <c r="S459" i="8"/>
  <c r="S460" i="8"/>
  <c r="U460" i="8" s="1"/>
  <c r="S461" i="8"/>
  <c r="V461" i="8" s="1"/>
  <c r="S462" i="8"/>
  <c r="U462" i="8" s="1"/>
  <c r="S463" i="8"/>
  <c r="S464" i="8"/>
  <c r="U464" i="8" s="1"/>
  <c r="S465" i="8"/>
  <c r="V465" i="8" s="1"/>
  <c r="S466" i="8"/>
  <c r="U466" i="8" s="1"/>
  <c r="S467" i="8"/>
  <c r="S468" i="8"/>
  <c r="U468" i="8" s="1"/>
  <c r="S469" i="8"/>
  <c r="V469" i="8" s="1"/>
  <c r="S470" i="8"/>
  <c r="U470" i="8" s="1"/>
  <c r="S471" i="8"/>
  <c r="S472" i="8"/>
  <c r="U472" i="8" s="1"/>
  <c r="S473" i="8"/>
  <c r="V473" i="8" s="1"/>
  <c r="S474" i="8"/>
  <c r="U474" i="8" s="1"/>
  <c r="S475" i="8"/>
  <c r="S476" i="8"/>
  <c r="G477" i="8"/>
  <c r="H477" i="8"/>
  <c r="I477" i="8"/>
  <c r="J477" i="8"/>
  <c r="K477" i="8"/>
  <c r="L477" i="8"/>
  <c r="M477" i="8"/>
  <c r="N477" i="8"/>
  <c r="O477" i="8"/>
  <c r="P477" i="8"/>
  <c r="T477" i="8"/>
  <c r="S479" i="8"/>
  <c r="S480" i="8"/>
  <c r="U480" i="8" s="1"/>
  <c r="S481" i="8"/>
  <c r="V481" i="8" s="1"/>
  <c r="S482" i="8"/>
  <c r="U482" i="8" s="1"/>
  <c r="S483" i="8"/>
  <c r="S484" i="8"/>
  <c r="U484" i="8" s="1"/>
  <c r="G485" i="8"/>
  <c r="H485" i="8"/>
  <c r="H620" i="8" s="1"/>
  <c r="I485" i="8"/>
  <c r="J485" i="8"/>
  <c r="K485" i="8"/>
  <c r="L485" i="8"/>
  <c r="M485" i="8"/>
  <c r="N485" i="8"/>
  <c r="O485" i="8"/>
  <c r="P485" i="8"/>
  <c r="T485" i="8"/>
  <c r="S487" i="8"/>
  <c r="S488" i="8"/>
  <c r="S489" i="8"/>
  <c r="U489" i="8" s="1"/>
  <c r="S490" i="8"/>
  <c r="S491" i="8"/>
  <c r="S492" i="8"/>
  <c r="S493" i="8"/>
  <c r="U493" i="8" s="1"/>
  <c r="S494" i="8"/>
  <c r="U494" i="8" s="1"/>
  <c r="S495" i="8"/>
  <c r="S496" i="8"/>
  <c r="S497" i="8"/>
  <c r="S498" i="8"/>
  <c r="U498" i="8" s="1"/>
  <c r="S499" i="8"/>
  <c r="S500" i="8"/>
  <c r="S501" i="8"/>
  <c r="U501" i="8" s="1"/>
  <c r="G502" i="8"/>
  <c r="H502" i="8"/>
  <c r="I502" i="8"/>
  <c r="J502" i="8"/>
  <c r="K502" i="8"/>
  <c r="L502" i="8"/>
  <c r="M502" i="8"/>
  <c r="N502" i="8"/>
  <c r="O502" i="8"/>
  <c r="P502" i="8"/>
  <c r="T502" i="8"/>
  <c r="S504" i="8"/>
  <c r="S505" i="8"/>
  <c r="U505" i="8" s="1"/>
  <c r="S506" i="8"/>
  <c r="U506" i="8" s="1"/>
  <c r="S507" i="8"/>
  <c r="S509" i="8"/>
  <c r="U509" i="8" s="1"/>
  <c r="G510" i="8"/>
  <c r="H510" i="8"/>
  <c r="I510" i="8"/>
  <c r="J510" i="8"/>
  <c r="K510" i="8"/>
  <c r="L510" i="8"/>
  <c r="M510" i="8"/>
  <c r="N510" i="8"/>
  <c r="O510" i="8"/>
  <c r="P510" i="8"/>
  <c r="T510" i="8"/>
  <c r="U514" i="8"/>
  <c r="G515" i="8"/>
  <c r="H515" i="8"/>
  <c r="H624" i="8" s="1"/>
  <c r="I515" i="8"/>
  <c r="I624" i="8" s="1"/>
  <c r="J515" i="8"/>
  <c r="K515" i="8"/>
  <c r="L515" i="8"/>
  <c r="M515" i="8"/>
  <c r="M624" i="8" s="1"/>
  <c r="N515" i="8"/>
  <c r="O515" i="8"/>
  <c r="P515" i="8"/>
  <c r="P624" i="8" s="1"/>
  <c r="T515" i="8"/>
  <c r="T624" i="8" s="1"/>
  <c r="U624" i="8" s="1"/>
  <c r="S523" i="8"/>
  <c r="V523" i="8" s="1"/>
  <c r="S524" i="8"/>
  <c r="S525" i="8"/>
  <c r="G526" i="8"/>
  <c r="H526" i="8"/>
  <c r="I526" i="8"/>
  <c r="J526" i="8"/>
  <c r="K526" i="8"/>
  <c r="L526" i="8"/>
  <c r="E33" i="1" s="1"/>
  <c r="M526" i="8"/>
  <c r="N526" i="8"/>
  <c r="O526" i="8"/>
  <c r="P526" i="8"/>
  <c r="T526" i="8"/>
  <c r="L33" i="1" s="1"/>
  <c r="S531" i="8"/>
  <c r="S532" i="8"/>
  <c r="S533" i="8"/>
  <c r="S534" i="8"/>
  <c r="S536" i="8"/>
  <c r="S537" i="8"/>
  <c r="S541" i="8"/>
  <c r="S544" i="8"/>
  <c r="G545" i="8"/>
  <c r="I545" i="8"/>
  <c r="J545" i="8"/>
  <c r="K545" i="8"/>
  <c r="L545" i="8"/>
  <c r="M545" i="8"/>
  <c r="M619" i="8" s="1"/>
  <c r="O545" i="8"/>
  <c r="P545" i="8"/>
  <c r="T545" i="8"/>
  <c r="S548" i="8"/>
  <c r="S549" i="8"/>
  <c r="S550" i="8"/>
  <c r="S551" i="8"/>
  <c r="S552" i="8"/>
  <c r="S553" i="8"/>
  <c r="S554" i="8"/>
  <c r="S555" i="8"/>
  <c r="S556" i="8"/>
  <c r="S557" i="8"/>
  <c r="S558" i="8"/>
  <c r="S559" i="8"/>
  <c r="S560" i="8"/>
  <c r="S561" i="8"/>
  <c r="S562" i="8"/>
  <c r="S563" i="8"/>
  <c r="S564" i="8"/>
  <c r="S565" i="8"/>
  <c r="S566" i="8"/>
  <c r="S567" i="8"/>
  <c r="S568" i="8"/>
  <c r="S569" i="8"/>
  <c r="G570" i="8"/>
  <c r="H570" i="8"/>
  <c r="I570" i="8"/>
  <c r="J570" i="8"/>
  <c r="K570" i="8"/>
  <c r="L570" i="8"/>
  <c r="M570" i="8"/>
  <c r="N570" i="8"/>
  <c r="O570" i="8"/>
  <c r="P570" i="8"/>
  <c r="T570" i="8"/>
  <c r="S572" i="8"/>
  <c r="S573" i="8"/>
  <c r="S574" i="8"/>
  <c r="S575" i="8"/>
  <c r="S576" i="8"/>
  <c r="S577" i="8"/>
  <c r="G578" i="8"/>
  <c r="I578" i="8"/>
  <c r="J578" i="8"/>
  <c r="K578" i="8"/>
  <c r="L578" i="8"/>
  <c r="M578" i="8"/>
  <c r="M620" i="8" s="1"/>
  <c r="N578" i="8"/>
  <c r="O578" i="8"/>
  <c r="P578" i="8"/>
  <c r="T578" i="8"/>
  <c r="T620" i="8" s="1"/>
  <c r="U620" i="8" s="1"/>
  <c r="S581" i="8"/>
  <c r="S583" i="8"/>
  <c r="S584" i="8"/>
  <c r="S585" i="8"/>
  <c r="S586" i="8"/>
  <c r="S588" i="8"/>
  <c r="S589" i="8"/>
  <c r="S590" i="8"/>
  <c r="S591" i="8"/>
  <c r="S592" i="8"/>
  <c r="S593" i="8"/>
  <c r="S594" i="8"/>
  <c r="S595" i="8"/>
  <c r="G596" i="8"/>
  <c r="H596" i="8"/>
  <c r="H622" i="8" s="1"/>
  <c r="I596" i="8"/>
  <c r="J596" i="8"/>
  <c r="K596" i="8"/>
  <c r="L596" i="8"/>
  <c r="M596" i="8"/>
  <c r="M622" i="8" s="1"/>
  <c r="N596" i="8"/>
  <c r="O596" i="8"/>
  <c r="P596" i="8"/>
  <c r="T596" i="8"/>
  <c r="S598" i="8"/>
  <c r="S599" i="8"/>
  <c r="S600" i="8"/>
  <c r="S601" i="8"/>
  <c r="S602" i="8"/>
  <c r="S603" i="8"/>
  <c r="G604" i="8"/>
  <c r="H604" i="8"/>
  <c r="H623" i="8" s="1"/>
  <c r="I604" i="8"/>
  <c r="J604" i="8"/>
  <c r="K604" i="8"/>
  <c r="L604" i="8"/>
  <c r="M604" i="8"/>
  <c r="N604" i="8"/>
  <c r="O604" i="8"/>
  <c r="P604" i="8"/>
  <c r="P623" i="8" s="1"/>
  <c r="T604" i="8"/>
  <c r="S606" i="8"/>
  <c r="T622" i="8" l="1"/>
  <c r="U622" i="8" s="1"/>
  <c r="R622" i="8"/>
  <c r="P622" i="8"/>
  <c r="O624" i="8"/>
  <c r="G624" i="8"/>
  <c r="M621" i="8"/>
  <c r="J623" i="8"/>
  <c r="M188" i="8"/>
  <c r="O623" i="8"/>
  <c r="G623" i="8"/>
  <c r="P619" i="8"/>
  <c r="H22" i="1"/>
  <c r="H61" i="1" s="1"/>
  <c r="L61" i="1"/>
  <c r="H20" i="1"/>
  <c r="H25" i="1"/>
  <c r="H33" i="1"/>
  <c r="N621" i="8"/>
  <c r="N624" i="8"/>
  <c r="J624" i="8"/>
  <c r="U601" i="8"/>
  <c r="U536" i="8"/>
  <c r="U599" i="8"/>
  <c r="V577" i="8"/>
  <c r="V573" i="8"/>
  <c r="U564" i="8"/>
  <c r="U548" i="8"/>
  <c r="V555" i="8"/>
  <c r="V592" i="8"/>
  <c r="V586" i="8"/>
  <c r="U581" i="8"/>
  <c r="V569" i="8"/>
  <c r="V561" i="8"/>
  <c r="V557" i="8"/>
  <c r="V553" i="8"/>
  <c r="U541" i="8"/>
  <c r="U602" i="8"/>
  <c r="V563" i="8"/>
  <c r="V559" i="8"/>
  <c r="V550" i="8"/>
  <c r="U537" i="8"/>
  <c r="U533" i="8"/>
  <c r="U531" i="8"/>
  <c r="U524" i="8"/>
  <c r="U405" i="8"/>
  <c r="V400" i="8"/>
  <c r="U392" i="8"/>
  <c r="V383" i="8"/>
  <c r="U365" i="8"/>
  <c r="U443" i="8"/>
  <c r="U438" i="8"/>
  <c r="U421" i="8"/>
  <c r="U441" i="8"/>
  <c r="U433" i="8"/>
  <c r="U428" i="8"/>
  <c r="U445" i="8"/>
  <c r="U440" i="8"/>
  <c r="U436" i="8"/>
  <c r="U427" i="8"/>
  <c r="V423" i="8"/>
  <c r="V419" i="8"/>
  <c r="U390" i="8"/>
  <c r="V378" i="8"/>
  <c r="U492" i="8"/>
  <c r="U476" i="8"/>
  <c r="U448" i="8"/>
  <c r="U446" i="8"/>
  <c r="U437" i="8"/>
  <c r="U432" i="8"/>
  <c r="U434" i="8"/>
  <c r="U429" i="8"/>
  <c r="U425" i="8"/>
  <c r="U417" i="8"/>
  <c r="U330" i="8"/>
  <c r="U296" i="8"/>
  <c r="U291" i="8"/>
  <c r="U287" i="8"/>
  <c r="U274" i="8"/>
  <c r="U294" i="8"/>
  <c r="V290" i="8"/>
  <c r="V286" i="8"/>
  <c r="U273" i="8"/>
  <c r="V272" i="8"/>
  <c r="V227" i="8"/>
  <c r="U308" i="8"/>
  <c r="V261" i="8"/>
  <c r="U159" i="8"/>
  <c r="V162" i="8"/>
  <c r="V157" i="8"/>
  <c r="V155" i="8"/>
  <c r="U158" i="8"/>
  <c r="U164" i="8"/>
  <c r="E23" i="1"/>
  <c r="P620" i="8"/>
  <c r="G620" i="8"/>
  <c r="P621" i="8"/>
  <c r="T619" i="8"/>
  <c r="U619" i="8" s="1"/>
  <c r="E34" i="1"/>
  <c r="E27" i="1"/>
  <c r="I619" i="8"/>
  <c r="N623" i="8"/>
  <c r="O622" i="8"/>
  <c r="O620" i="8"/>
  <c r="O621" i="8"/>
  <c r="E31" i="1"/>
  <c r="E29" i="1"/>
  <c r="R623" i="8"/>
  <c r="T623" i="8"/>
  <c r="U623" i="8" s="1"/>
  <c r="M623" i="8"/>
  <c r="M625" i="8" s="1"/>
  <c r="I623" i="8"/>
  <c r="N622" i="8"/>
  <c r="O619" i="8"/>
  <c r="T621" i="8"/>
  <c r="U621" i="8" s="1"/>
  <c r="T169" i="8"/>
  <c r="M169" i="8"/>
  <c r="G622" i="8"/>
  <c r="R620" i="8"/>
  <c r="L619" i="8"/>
  <c r="L624" i="8"/>
  <c r="U585" i="8"/>
  <c r="V585" i="8"/>
  <c r="U576" i="8"/>
  <c r="V576" i="8"/>
  <c r="U574" i="8"/>
  <c r="V574" i="8"/>
  <c r="U575" i="8"/>
  <c r="V575" i="8"/>
  <c r="U566" i="8"/>
  <c r="V566" i="8"/>
  <c r="U562" i="8"/>
  <c r="V562" i="8"/>
  <c r="U554" i="8"/>
  <c r="V554" i="8"/>
  <c r="U551" i="8"/>
  <c r="V551" i="8"/>
  <c r="U556" i="8"/>
  <c r="V556" i="8"/>
  <c r="L623" i="8"/>
  <c r="L622" i="8"/>
  <c r="L620" i="8"/>
  <c r="L621" i="8"/>
  <c r="V488" i="8"/>
  <c r="U490" i="8"/>
  <c r="U496" i="8"/>
  <c r="U497" i="8"/>
  <c r="V549" i="8"/>
  <c r="U552" i="8"/>
  <c r="V552" i="8"/>
  <c r="V560" i="8"/>
  <c r="G621" i="8"/>
  <c r="U567" i="8"/>
  <c r="V567" i="8"/>
  <c r="U568" i="8"/>
  <c r="I620" i="8"/>
  <c r="U572" i="8"/>
  <c r="V584" i="8"/>
  <c r="J622" i="8"/>
  <c r="U589" i="8"/>
  <c r="V589" i="8"/>
  <c r="V588" i="8"/>
  <c r="U558" i="8"/>
  <c r="V558" i="8"/>
  <c r="V591" i="8"/>
  <c r="U595" i="8"/>
  <c r="U603" i="8"/>
  <c r="U339" i="8"/>
  <c r="U338" i="8"/>
  <c r="U329" i="8"/>
  <c r="J619" i="8"/>
  <c r="H621" i="8"/>
  <c r="H625" i="8" s="1"/>
  <c r="U361" i="8"/>
  <c r="U364" i="8"/>
  <c r="V355" i="8"/>
  <c r="U282" i="8"/>
  <c r="J620" i="8"/>
  <c r="V199" i="8"/>
  <c r="K619" i="8"/>
  <c r="V167" i="8"/>
  <c r="I621" i="8"/>
  <c r="K145" i="8"/>
  <c r="K624" i="8"/>
  <c r="K622" i="8"/>
  <c r="K623" i="8"/>
  <c r="K620" i="8"/>
  <c r="K621" i="8"/>
  <c r="E16" i="1"/>
  <c r="J96" i="8"/>
  <c r="U13" i="8"/>
  <c r="H145" i="8"/>
  <c r="H16" i="1"/>
  <c r="P264" i="8"/>
  <c r="P169" i="8"/>
  <c r="V250" i="8"/>
  <c r="U154" i="8"/>
  <c r="U283" i="8"/>
  <c r="V281" i="8"/>
  <c r="V352" i="8"/>
  <c r="U353" i="8"/>
  <c r="U356" i="8"/>
  <c r="U357" i="8"/>
  <c r="V359" i="8"/>
  <c r="U360" i="8"/>
  <c r="V367" i="8"/>
  <c r="V368" i="8"/>
  <c r="U369" i="8"/>
  <c r="V376" i="8"/>
  <c r="U377" i="8"/>
  <c r="U379" i="8"/>
  <c r="U384" i="8"/>
  <c r="U386" i="8"/>
  <c r="V387" i="8"/>
  <c r="U388" i="8"/>
  <c r="U397" i="8"/>
  <c r="U401" i="8"/>
  <c r="V404" i="8"/>
  <c r="V347" i="8"/>
  <c r="U346" i="8"/>
  <c r="U343" i="8"/>
  <c r="V345" i="8"/>
  <c r="U348" i="8"/>
  <c r="U342" i="8"/>
  <c r="V341" i="8"/>
  <c r="V328" i="8"/>
  <c r="V334" i="8"/>
  <c r="V337" i="8"/>
  <c r="U335" i="8"/>
  <c r="U456" i="8"/>
  <c r="U500" i="8"/>
  <c r="U550" i="8"/>
  <c r="U560" i="8"/>
  <c r="U586" i="8"/>
  <c r="U591" i="8"/>
  <c r="U593" i="8"/>
  <c r="I169" i="8"/>
  <c r="I609" i="8"/>
  <c r="N188" i="8"/>
  <c r="L16" i="1"/>
  <c r="I188" i="8"/>
  <c r="H264" i="8"/>
  <c r="H238" i="8"/>
  <c r="U105" i="8"/>
  <c r="I410" i="8"/>
  <c r="T410" i="8"/>
  <c r="P238" i="8"/>
  <c r="V184" i="8"/>
  <c r="J169" i="8"/>
  <c r="U150" i="8"/>
  <c r="O145" i="8"/>
  <c r="J609" i="8"/>
  <c r="J410" i="8"/>
  <c r="K319" i="8"/>
  <c r="M410" i="8"/>
  <c r="M264" i="8"/>
  <c r="I264" i="8"/>
  <c r="J188" i="8"/>
  <c r="T609" i="8"/>
  <c r="M609" i="8"/>
  <c r="M319" i="8"/>
  <c r="L145" i="8"/>
  <c r="E19" i="1" s="1"/>
  <c r="O517" i="8"/>
  <c r="G517" i="8"/>
  <c r="N229" i="8"/>
  <c r="N238" i="8" s="1"/>
  <c r="O188" i="8"/>
  <c r="K188" i="8"/>
  <c r="G188" i="8"/>
  <c r="V183" i="8"/>
  <c r="U174" i="8"/>
  <c r="O169" i="8"/>
  <c r="K169" i="8"/>
  <c r="G169" i="8"/>
  <c r="L169" i="8"/>
  <c r="E21" i="1" s="1"/>
  <c r="U199" i="8"/>
  <c r="V193" i="8"/>
  <c r="K517" i="8"/>
  <c r="H169" i="8"/>
  <c r="G145" i="8"/>
  <c r="M238" i="8"/>
  <c r="N169" i="8"/>
  <c r="U408" i="8"/>
  <c r="L23" i="1"/>
  <c r="I238" i="8"/>
  <c r="P188" i="8"/>
  <c r="L188" i="8"/>
  <c r="E22" i="1" s="1"/>
  <c r="E61" i="1" s="1"/>
  <c r="H188" i="8"/>
  <c r="U181" i="8"/>
  <c r="S587" i="8"/>
  <c r="Q596" i="8"/>
  <c r="L34" i="1"/>
  <c r="H34" i="1" s="1"/>
  <c r="S502" i="8"/>
  <c r="V502" i="8" s="1"/>
  <c r="L31" i="1"/>
  <c r="N381" i="8"/>
  <c r="N349" i="8"/>
  <c r="N145" i="8"/>
  <c r="U454" i="8"/>
  <c r="S477" i="8"/>
  <c r="V477" i="8" s="1"/>
  <c r="V415" i="8"/>
  <c r="S451" i="8"/>
  <c r="V451" i="8" s="1"/>
  <c r="V94" i="8"/>
  <c r="F15" i="1"/>
  <c r="N517" i="8"/>
  <c r="J517" i="8"/>
  <c r="P319" i="8"/>
  <c r="L319" i="8"/>
  <c r="H319" i="8"/>
  <c r="O319" i="8"/>
  <c r="G319" i="8"/>
  <c r="O264" i="8"/>
  <c r="K264" i="8"/>
  <c r="G264" i="8"/>
  <c r="O238" i="8"/>
  <c r="K238" i="8"/>
  <c r="G238" i="8"/>
  <c r="L238" i="8"/>
  <c r="S152" i="8"/>
  <c r="U151" i="8"/>
  <c r="T145" i="8"/>
  <c r="V12" i="8"/>
  <c r="S485" i="8"/>
  <c r="L517" i="8"/>
  <c r="H517" i="8"/>
  <c r="L29" i="1"/>
  <c r="L27" i="1"/>
  <c r="L264" i="8"/>
  <c r="E26" i="1" s="1"/>
  <c r="L21" i="1"/>
  <c r="L60" i="1" s="1"/>
  <c r="L18" i="1"/>
  <c r="P517" i="8"/>
  <c r="V504" i="8"/>
  <c r="S510" i="8"/>
  <c r="V510" i="8" s="1"/>
  <c r="V445" i="8"/>
  <c r="V335" i="8"/>
  <c r="V432" i="8"/>
  <c r="U424" i="8"/>
  <c r="U420" i="8"/>
  <c r="S317" i="8"/>
  <c r="V317" i="8" s="1"/>
  <c r="U416" i="8"/>
  <c r="V446" i="8"/>
  <c r="V441" i="8"/>
  <c r="V437" i="8"/>
  <c r="U423" i="8"/>
  <c r="U419" i="8"/>
  <c r="U415" i="8"/>
  <c r="V348" i="8"/>
  <c r="V342" i="8"/>
  <c r="V273" i="8"/>
  <c r="S276" i="8"/>
  <c r="V276" i="8" s="1"/>
  <c r="U347" i="8"/>
  <c r="V346" i="8"/>
  <c r="U334" i="8"/>
  <c r="V343" i="8"/>
  <c r="V306" i="8"/>
  <c r="U300" i="8"/>
  <c r="S304" i="8"/>
  <c r="U279" i="8"/>
  <c r="S298" i="8"/>
  <c r="V298" i="8" s="1"/>
  <c r="R238" i="8"/>
  <c r="U106" i="8"/>
  <c r="U104" i="8"/>
  <c r="H96" i="8"/>
  <c r="L96" i="8"/>
  <c r="O96" i="8"/>
  <c r="K96" i="8"/>
  <c r="G96" i="8"/>
  <c r="M96" i="8"/>
  <c r="I96" i="8"/>
  <c r="N96" i="8"/>
  <c r="V57" i="8"/>
  <c r="F13" i="1"/>
  <c r="U90" i="8"/>
  <c r="U83" i="8"/>
  <c r="U81" i="8"/>
  <c r="S91" i="8"/>
  <c r="U78" i="8"/>
  <c r="V72" i="8"/>
  <c r="S75" i="8"/>
  <c r="V38" i="8"/>
  <c r="V86" i="8"/>
  <c r="V81" i="8"/>
  <c r="U89" i="8"/>
  <c r="V78" i="8"/>
  <c r="V55" i="8"/>
  <c r="S67" i="8"/>
  <c r="F11" i="1" s="1"/>
  <c r="V58" i="8"/>
  <c r="V50" i="8"/>
  <c r="V45" i="8"/>
  <c r="V42" i="8"/>
  <c r="S35" i="8"/>
  <c r="V19" i="8"/>
  <c r="S28" i="8"/>
  <c r="V59" i="8"/>
  <c r="V46" i="8"/>
  <c r="V41" i="8"/>
  <c r="U37" i="8"/>
  <c r="S52" i="8"/>
  <c r="V74" i="8"/>
  <c r="U71" i="8"/>
  <c r="U66" i="8"/>
  <c r="U61" i="8"/>
  <c r="U57" i="8"/>
  <c r="U55" i="8"/>
  <c r="U48" i="8"/>
  <c r="U44" i="8"/>
  <c r="U40" i="8"/>
  <c r="U23" i="8"/>
  <c r="U19" i="8"/>
  <c r="U34" i="8"/>
  <c r="V33" i="8"/>
  <c r="U32" i="8"/>
  <c r="U16" i="8"/>
  <c r="V24" i="8"/>
  <c r="V20" i="8"/>
  <c r="U27" i="8"/>
  <c r="U25" i="8"/>
  <c r="V21" i="8"/>
  <c r="V13" i="8"/>
  <c r="U11" i="8"/>
  <c r="U15" i="8"/>
  <c r="V9" i="8"/>
  <c r="R264" i="8"/>
  <c r="R609" i="8"/>
  <c r="R410" i="8"/>
  <c r="R517" i="8"/>
  <c r="R319" i="8"/>
  <c r="U226" i="8"/>
  <c r="U203" i="8"/>
  <c r="V109" i="8"/>
  <c r="S236" i="8"/>
  <c r="V236" i="8" s="1"/>
  <c r="V260" i="8"/>
  <c r="U211" i="8"/>
  <c r="S143" i="8"/>
  <c r="V256" i="8"/>
  <c r="U155" i="8"/>
  <c r="U235" i="8"/>
  <c r="U218" i="8"/>
  <c r="V159" i="8"/>
  <c r="V114" i="8"/>
  <c r="U257" i="8"/>
  <c r="V219" i="8"/>
  <c r="V164" i="8"/>
  <c r="U129" i="8"/>
  <c r="U227" i="8"/>
  <c r="U206" i="8"/>
  <c r="U157" i="8"/>
  <c r="U128" i="8"/>
  <c r="V125" i="8"/>
  <c r="U116" i="8"/>
  <c r="U231" i="8"/>
  <c r="U224" i="8"/>
  <c r="U216" i="8"/>
  <c r="U209" i="8"/>
  <c r="S135" i="8"/>
  <c r="V121" i="8"/>
  <c r="S262" i="8"/>
  <c r="V262" i="8" s="1"/>
  <c r="U261" i="8"/>
  <c r="U262" i="8" s="1"/>
  <c r="U255" i="8"/>
  <c r="V248" i="8"/>
  <c r="U250" i="8"/>
  <c r="U234" i="8"/>
  <c r="V234" i="8"/>
  <c r="U228" i="8"/>
  <c r="U220" i="8"/>
  <c r="U215" i="8"/>
  <c r="U210" i="8"/>
  <c r="U167" i="8"/>
  <c r="U162" i="8"/>
  <c r="U163" i="8"/>
  <c r="U142" i="8"/>
  <c r="U143" i="8" s="1"/>
  <c r="U138" i="8"/>
  <c r="U134" i="8"/>
  <c r="U133" i="8"/>
  <c r="U124" i="8"/>
  <c r="U126" i="8"/>
  <c r="U112" i="8"/>
  <c r="U120" i="8"/>
  <c r="U118" i="8"/>
  <c r="U563" i="8"/>
  <c r="U555" i="8"/>
  <c r="U594" i="8"/>
  <c r="V484" i="8"/>
  <c r="U590" i="8"/>
  <c r="U559" i="8"/>
  <c r="U461" i="8"/>
  <c r="U598" i="8"/>
  <c r="V496" i="8"/>
  <c r="V360" i="8"/>
  <c r="V294" i="8"/>
  <c r="V480" i="8"/>
  <c r="V464" i="8"/>
  <c r="U584" i="8"/>
  <c r="V533" i="8"/>
  <c r="V472" i="8"/>
  <c r="U469" i="8"/>
  <c r="U606" i="8"/>
  <c r="V537" i="8"/>
  <c r="U534" i="8"/>
  <c r="U523" i="8"/>
  <c r="V514" i="8"/>
  <c r="V509" i="8"/>
  <c r="V492" i="8"/>
  <c r="U286" i="8"/>
  <c r="V456" i="8"/>
  <c r="V500" i="8"/>
  <c r="V476" i="8"/>
  <c r="U473" i="8"/>
  <c r="V468" i="8"/>
  <c r="U465" i="8"/>
  <c r="V460" i="8"/>
  <c r="V369" i="8"/>
  <c r="V505" i="8"/>
  <c r="U504" i="8"/>
  <c r="V501" i="8"/>
  <c r="V497" i="8"/>
  <c r="V493" i="8"/>
  <c r="V489" i="8"/>
  <c r="U488" i="8"/>
  <c r="U481" i="8"/>
  <c r="U457" i="8"/>
  <c r="U404" i="8"/>
  <c r="V356" i="8"/>
  <c r="V291" i="8"/>
  <c r="V282" i="8"/>
  <c r="V377" i="8"/>
  <c r="U290" i="8"/>
  <c r="U400" i="8"/>
  <c r="U368" i="8"/>
  <c r="V365" i="8"/>
  <c r="V353" i="8"/>
  <c r="U403" i="8"/>
  <c r="U399" i="8"/>
  <c r="U387" i="8"/>
  <c r="V390" i="8"/>
  <c r="V386" i="8"/>
  <c r="U391" i="8"/>
  <c r="U383" i="8"/>
  <c r="U378" i="8"/>
  <c r="V364" i="8"/>
  <c r="V357" i="8"/>
  <c r="U352" i="8"/>
  <c r="V361" i="8"/>
  <c r="U316" i="8"/>
  <c r="V308" i="8"/>
  <c r="U303" i="8"/>
  <c r="V300" i="8"/>
  <c r="V296" i="8"/>
  <c r="V287" i="8"/>
  <c r="V283" i="8"/>
  <c r="V279" i="8"/>
  <c r="V274" i="8"/>
  <c r="O609" i="8"/>
  <c r="U588" i="8"/>
  <c r="U525" i="8"/>
  <c r="S526" i="8"/>
  <c r="F33" i="1" s="1"/>
  <c r="V525" i="8"/>
  <c r="U507" i="8"/>
  <c r="V507" i="8"/>
  <c r="U358" i="8"/>
  <c r="V358" i="8"/>
  <c r="V302" i="8"/>
  <c r="U302" i="8"/>
  <c r="U561" i="8"/>
  <c r="U553" i="8"/>
  <c r="T517" i="8"/>
  <c r="U499" i="8"/>
  <c r="V499" i="8"/>
  <c r="U495" i="8"/>
  <c r="V495" i="8"/>
  <c r="U491" i="8"/>
  <c r="V491" i="8"/>
  <c r="U487" i="8"/>
  <c r="V487" i="8"/>
  <c r="U483" i="8"/>
  <c r="V483" i="8"/>
  <c r="U479" i="8"/>
  <c r="V479" i="8"/>
  <c r="U475" i="8"/>
  <c r="V475" i="8"/>
  <c r="U471" i="8"/>
  <c r="V471" i="8"/>
  <c r="U467" i="8"/>
  <c r="V467" i="8"/>
  <c r="U463" i="8"/>
  <c r="V463" i="8"/>
  <c r="U459" i="8"/>
  <c r="V459" i="8"/>
  <c r="U455" i="8"/>
  <c r="V455" i="8"/>
  <c r="P410" i="8"/>
  <c r="L410" i="8"/>
  <c r="H410" i="8"/>
  <c r="U362" i="8"/>
  <c r="V362" i="8"/>
  <c r="U344" i="8"/>
  <c r="U327" i="8"/>
  <c r="V327" i="8"/>
  <c r="V289" i="8"/>
  <c r="U289" i="8"/>
  <c r="U600" i="8"/>
  <c r="G609" i="8"/>
  <c r="U393" i="8"/>
  <c r="V393" i="8"/>
  <c r="U385" i="8"/>
  <c r="S394" i="8"/>
  <c r="V394" i="8" s="1"/>
  <c r="V385" i="8"/>
  <c r="U340" i="8"/>
  <c r="V340" i="8"/>
  <c r="V285" i="8"/>
  <c r="U285" i="8"/>
  <c r="U569" i="8"/>
  <c r="U557" i="8"/>
  <c r="U549" i="8"/>
  <c r="S570" i="8"/>
  <c r="V570" i="8" s="1"/>
  <c r="U544" i="8"/>
  <c r="V536" i="8"/>
  <c r="U532" i="8"/>
  <c r="S545" i="8"/>
  <c r="V532" i="8"/>
  <c r="M517" i="8"/>
  <c r="I517" i="8"/>
  <c r="O410" i="8"/>
  <c r="K410" i="8"/>
  <c r="U402" i="8"/>
  <c r="V402" i="8"/>
  <c r="U398" i="8"/>
  <c r="U375" i="8"/>
  <c r="V375" i="8"/>
  <c r="S381" i="8"/>
  <c r="U366" i="8"/>
  <c r="V366" i="8"/>
  <c r="U331" i="8"/>
  <c r="V331" i="8"/>
  <c r="U314" i="8"/>
  <c r="U293" i="8"/>
  <c r="K609" i="8"/>
  <c r="U592" i="8"/>
  <c r="U389" i="8"/>
  <c r="V389" i="8"/>
  <c r="U583" i="8"/>
  <c r="U565" i="8"/>
  <c r="P609" i="8"/>
  <c r="L609" i="8"/>
  <c r="H609" i="8"/>
  <c r="U577" i="8"/>
  <c r="U573" i="8"/>
  <c r="S578" i="8"/>
  <c r="V578" i="8" s="1"/>
  <c r="U450" i="8"/>
  <c r="U444" i="8"/>
  <c r="V444" i="8"/>
  <c r="U439" i="8"/>
  <c r="U435" i="8"/>
  <c r="U430" i="8"/>
  <c r="U426" i="8"/>
  <c r="U422" i="8"/>
  <c r="U418" i="8"/>
  <c r="U370" i="8"/>
  <c r="V370" i="8"/>
  <c r="U354" i="8"/>
  <c r="V354" i="8"/>
  <c r="S373" i="8"/>
  <c r="V373" i="8" s="1"/>
  <c r="U336" i="8"/>
  <c r="V336" i="8"/>
  <c r="U309" i="8"/>
  <c r="V309" i="8"/>
  <c r="U254" i="8"/>
  <c r="V254" i="8"/>
  <c r="S258" i="8"/>
  <c r="F25" i="1" s="1"/>
  <c r="V581" i="8"/>
  <c r="V572" i="8"/>
  <c r="V548" i="8"/>
  <c r="V541" i="8"/>
  <c r="V531" i="8"/>
  <c r="V524" i="8"/>
  <c r="V506" i="8"/>
  <c r="V498" i="8"/>
  <c r="V494" i="8"/>
  <c r="V490" i="8"/>
  <c r="V482" i="8"/>
  <c r="V474" i="8"/>
  <c r="V470" i="8"/>
  <c r="V466" i="8"/>
  <c r="V462" i="8"/>
  <c r="V458" i="8"/>
  <c r="V454" i="8"/>
  <c r="V448" i="8"/>
  <c r="V443" i="8"/>
  <c r="V429" i="8"/>
  <c r="V425" i="8"/>
  <c r="V405" i="8"/>
  <c r="V397" i="8"/>
  <c r="V392" i="8"/>
  <c r="V388" i="8"/>
  <c r="V384" i="8"/>
  <c r="U380" i="8"/>
  <c r="V380" i="8"/>
  <c r="U301" i="8"/>
  <c r="V301" i="8"/>
  <c r="U297" i="8"/>
  <c r="V297" i="8"/>
  <c r="U292" i="8"/>
  <c r="V292" i="8"/>
  <c r="U288" i="8"/>
  <c r="V288" i="8"/>
  <c r="U284" i="8"/>
  <c r="V284" i="8"/>
  <c r="U280" i="8"/>
  <c r="V280" i="8"/>
  <c r="U275" i="8"/>
  <c r="V275" i="8"/>
  <c r="U270" i="8"/>
  <c r="V270" i="8"/>
  <c r="U243" i="8"/>
  <c r="V243" i="8"/>
  <c r="U212" i="8"/>
  <c r="V212" i="8"/>
  <c r="S200" i="8"/>
  <c r="U195" i="8"/>
  <c r="U132" i="8"/>
  <c r="V132" i="8"/>
  <c r="U115" i="8"/>
  <c r="V115" i="8"/>
  <c r="U103" i="8"/>
  <c r="V103" i="8"/>
  <c r="S107" i="8"/>
  <c r="V107" i="8" s="1"/>
  <c r="U31" i="8"/>
  <c r="V31" i="8"/>
  <c r="U249" i="8"/>
  <c r="V249" i="8"/>
  <c r="U217" i="8"/>
  <c r="U22" i="8"/>
  <c r="V22" i="8"/>
  <c r="S604" i="8"/>
  <c r="N545" i="8"/>
  <c r="S406" i="8"/>
  <c r="V379" i="8"/>
  <c r="U376" i="8"/>
  <c r="U372" i="8"/>
  <c r="U367" i="8"/>
  <c r="U363" i="8"/>
  <c r="U359" i="8"/>
  <c r="U355" i="8"/>
  <c r="U345" i="8"/>
  <c r="U341" i="8"/>
  <c r="U337" i="8"/>
  <c r="U332" i="8"/>
  <c r="U328" i="8"/>
  <c r="U315" i="8"/>
  <c r="U310" i="8"/>
  <c r="U306" i="8"/>
  <c r="T264" i="8"/>
  <c r="L26" i="1" s="1"/>
  <c r="H26" i="1" s="1"/>
  <c r="N264" i="8"/>
  <c r="J264" i="8"/>
  <c r="T238" i="8"/>
  <c r="J238" i="8"/>
  <c r="U225" i="8"/>
  <c r="V225" i="8"/>
  <c r="U208" i="8"/>
  <c r="V208" i="8"/>
  <c r="S177" i="8"/>
  <c r="U173" i="8"/>
  <c r="U161" i="8"/>
  <c r="V161" i="8"/>
  <c r="U14" i="8"/>
  <c r="V14" i="8"/>
  <c r="T319" i="8"/>
  <c r="N319" i="8"/>
  <c r="J319" i="8"/>
  <c r="U281" i="8"/>
  <c r="U272" i="8"/>
  <c r="S251" i="8"/>
  <c r="V251" i="8" s="1"/>
  <c r="U246" i="8"/>
  <c r="S229" i="8"/>
  <c r="U221" i="8"/>
  <c r="V221" i="8"/>
  <c r="U213" i="8"/>
  <c r="U204" i="8"/>
  <c r="V204" i="8"/>
  <c r="V202" i="8"/>
  <c r="S222" i="8"/>
  <c r="U196" i="8"/>
  <c r="U180" i="8"/>
  <c r="S186" i="8"/>
  <c r="V180" i="8"/>
  <c r="U176" i="8"/>
  <c r="M145" i="8"/>
  <c r="I145" i="8"/>
  <c r="U111" i="8"/>
  <c r="V111" i="8"/>
  <c r="U10" i="8"/>
  <c r="V10" i="8"/>
  <c r="S17" i="8"/>
  <c r="U156" i="8"/>
  <c r="V156" i="8"/>
  <c r="S165" i="8"/>
  <c r="U137" i="8"/>
  <c r="S140" i="8"/>
  <c r="U127" i="8"/>
  <c r="V127" i="8"/>
  <c r="T96" i="8"/>
  <c r="U87" i="8"/>
  <c r="V87" i="8"/>
  <c r="U82" i="8"/>
  <c r="U64" i="8"/>
  <c r="U60" i="8"/>
  <c r="V60" i="8"/>
  <c r="U56" i="8"/>
  <c r="V56" i="8"/>
  <c r="U51" i="8"/>
  <c r="U47" i="8"/>
  <c r="V47" i="8"/>
  <c r="U43" i="8"/>
  <c r="V43" i="8"/>
  <c r="U39" i="8"/>
  <c r="V39" i="8"/>
  <c r="U185" i="8"/>
  <c r="V185" i="8"/>
  <c r="U119" i="8"/>
  <c r="V119" i="8"/>
  <c r="U70" i="8"/>
  <c r="V70" i="8"/>
  <c r="U26" i="8"/>
  <c r="V26" i="8"/>
  <c r="P625" i="8" l="1"/>
  <c r="H23" i="1"/>
  <c r="N620" i="8"/>
  <c r="L63" i="1"/>
  <c r="H27" i="1"/>
  <c r="H31" i="1"/>
  <c r="H18" i="1"/>
  <c r="H29" i="1"/>
  <c r="E30" i="1"/>
  <c r="E65" i="1" s="1"/>
  <c r="E28" i="1"/>
  <c r="E64" i="1" s="1"/>
  <c r="U625" i="8"/>
  <c r="E32" i="1"/>
  <c r="E66" i="1" s="1"/>
  <c r="E24" i="1"/>
  <c r="E62" i="1" s="1"/>
  <c r="T625" i="8"/>
  <c r="H21" i="1"/>
  <c r="H60" i="1" s="1"/>
  <c r="K625" i="8"/>
  <c r="O625" i="8"/>
  <c r="N609" i="8"/>
  <c r="N619" i="8"/>
  <c r="N625" i="8" s="1"/>
  <c r="E35" i="1"/>
  <c r="E67" i="1" s="1"/>
  <c r="Q609" i="8"/>
  <c r="Q622" i="8"/>
  <c r="E63" i="1"/>
  <c r="L625" i="8"/>
  <c r="V587" i="8"/>
  <c r="H63" i="1"/>
  <c r="E60" i="1"/>
  <c r="E59" i="1"/>
  <c r="S623" i="8"/>
  <c r="V200" i="8"/>
  <c r="S620" i="8"/>
  <c r="V135" i="8"/>
  <c r="F14" i="1"/>
  <c r="J14" i="1" s="1"/>
  <c r="S96" i="8"/>
  <c r="J15" i="1"/>
  <c r="I15" i="1"/>
  <c r="J33" i="1"/>
  <c r="I33" i="1"/>
  <c r="J25" i="1"/>
  <c r="I25" i="1"/>
  <c r="I13" i="1"/>
  <c r="J13" i="1"/>
  <c r="I11" i="1"/>
  <c r="J11" i="1"/>
  <c r="H612" i="8"/>
  <c r="H615" i="8" s="1"/>
  <c r="U152" i="8"/>
  <c r="U587" i="8"/>
  <c r="U596" i="8" s="1"/>
  <c r="L30" i="1"/>
  <c r="H30" i="1" s="1"/>
  <c r="L35" i="1"/>
  <c r="H35" i="1" s="1"/>
  <c r="S596" i="8"/>
  <c r="V596" i="8" s="1"/>
  <c r="L612" i="8"/>
  <c r="L615" i="8" s="1"/>
  <c r="N410" i="8"/>
  <c r="U107" i="8"/>
  <c r="L24" i="1"/>
  <c r="H24" i="1" s="1"/>
  <c r="K612" i="8"/>
  <c r="K615" i="8" s="1"/>
  <c r="T612" i="8"/>
  <c r="T615" i="8" s="1"/>
  <c r="Q25" i="1"/>
  <c r="R25" i="1" s="1"/>
  <c r="P612" i="8"/>
  <c r="P615" i="8" s="1"/>
  <c r="V152" i="8"/>
  <c r="F20" i="1"/>
  <c r="V67" i="8"/>
  <c r="L19" i="1"/>
  <c r="H19" i="1" s="1"/>
  <c r="L28" i="1"/>
  <c r="H28" i="1" s="1"/>
  <c r="L32" i="1"/>
  <c r="H32" i="1" s="1"/>
  <c r="V222" i="8"/>
  <c r="S238" i="8"/>
  <c r="U200" i="8"/>
  <c r="U451" i="8"/>
  <c r="V229" i="8"/>
  <c r="F23" i="1"/>
  <c r="V485" i="8"/>
  <c r="F31" i="1"/>
  <c r="V130" i="8"/>
  <c r="F18" i="1"/>
  <c r="V304" i="8"/>
  <c r="F27" i="1"/>
  <c r="V526" i="8"/>
  <c r="V381" i="8"/>
  <c r="V545" i="8"/>
  <c r="F34" i="1"/>
  <c r="U91" i="8"/>
  <c r="U75" i="8"/>
  <c r="V75" i="8"/>
  <c r="F12" i="1"/>
  <c r="U67" i="8"/>
  <c r="U52" i="8"/>
  <c r="V52" i="8"/>
  <c r="F10" i="1"/>
  <c r="U35" i="8"/>
  <c r="V35" i="8"/>
  <c r="F9" i="1"/>
  <c r="V28" i="8"/>
  <c r="F8" i="1"/>
  <c r="U28" i="8"/>
  <c r="U17" i="8"/>
  <c r="V17" i="8"/>
  <c r="F7" i="1"/>
  <c r="U140" i="8"/>
  <c r="U236" i="8"/>
  <c r="U130" i="8"/>
  <c r="U229" i="8"/>
  <c r="U222" i="8"/>
  <c r="U258" i="8"/>
  <c r="U135" i="8"/>
  <c r="U304" i="8"/>
  <c r="U477" i="8"/>
  <c r="U604" i="8"/>
  <c r="U526" i="8"/>
  <c r="U578" i="8"/>
  <c r="U570" i="8"/>
  <c r="U545" i="8"/>
  <c r="U510" i="8"/>
  <c r="U485" i="8"/>
  <c r="U394" i="8"/>
  <c r="U373" i="8"/>
  <c r="U298" i="8"/>
  <c r="U381" i="8"/>
  <c r="M612" i="8"/>
  <c r="M615" i="8" s="1"/>
  <c r="V186" i="8"/>
  <c r="S188" i="8"/>
  <c r="U186" i="8"/>
  <c r="V406" i="8"/>
  <c r="U317" i="8"/>
  <c r="U502" i="8"/>
  <c r="V91" i="8"/>
  <c r="V165" i="8"/>
  <c r="S169" i="8"/>
  <c r="U165" i="8"/>
  <c r="U251" i="8"/>
  <c r="U177" i="8"/>
  <c r="U276" i="8"/>
  <c r="V258" i="8"/>
  <c r="S264" i="8"/>
  <c r="V264" i="8" s="1"/>
  <c r="U406" i="8"/>
  <c r="O612" i="8"/>
  <c r="O615" i="8" s="1"/>
  <c r="L66" i="1" l="1"/>
  <c r="L65" i="1"/>
  <c r="M7" i="1"/>
  <c r="Q7" i="1"/>
  <c r="L59" i="1"/>
  <c r="L64" i="1"/>
  <c r="L62" i="1"/>
  <c r="N612" i="8"/>
  <c r="N615" i="8" s="1"/>
  <c r="L67" i="1"/>
  <c r="I14" i="1"/>
  <c r="H66" i="1"/>
  <c r="H64" i="1"/>
  <c r="H65" i="1"/>
  <c r="H36" i="1"/>
  <c r="H39" i="1" s="1"/>
  <c r="H67" i="1"/>
  <c r="E68" i="1"/>
  <c r="H59" i="1"/>
  <c r="M18" i="1"/>
  <c r="J34" i="1"/>
  <c r="I34" i="1"/>
  <c r="I31" i="1"/>
  <c r="J31" i="1"/>
  <c r="J27" i="1"/>
  <c r="I27" i="1"/>
  <c r="J23" i="1"/>
  <c r="I23" i="1"/>
  <c r="I20" i="1"/>
  <c r="J20" i="1"/>
  <c r="Q18" i="1"/>
  <c r="R18" i="1" s="1"/>
  <c r="I18" i="1"/>
  <c r="J18" i="1"/>
  <c r="I12" i="1"/>
  <c r="J12" i="1"/>
  <c r="I10" i="1"/>
  <c r="J10" i="1"/>
  <c r="J9" i="1"/>
  <c r="I9" i="1"/>
  <c r="I8" i="1"/>
  <c r="J8" i="1"/>
  <c r="I7" i="1"/>
  <c r="N7" i="1"/>
  <c r="J7" i="1"/>
  <c r="E36" i="1"/>
  <c r="E39" i="1" s="1"/>
  <c r="U169" i="8"/>
  <c r="S609" i="8"/>
  <c r="F35" i="1" s="1"/>
  <c r="F67" i="1" s="1"/>
  <c r="Q27" i="1"/>
  <c r="R27" i="1" s="1"/>
  <c r="Q20" i="1"/>
  <c r="R20" i="1" s="1"/>
  <c r="Q33" i="1"/>
  <c r="R33" i="1" s="1"/>
  <c r="Q23" i="1"/>
  <c r="R23" i="1" s="1"/>
  <c r="Q31" i="1"/>
  <c r="R31" i="1" s="1"/>
  <c r="Q34" i="1"/>
  <c r="R34" i="1" s="1"/>
  <c r="U188" i="8"/>
  <c r="V188" i="8"/>
  <c r="F22" i="1"/>
  <c r="F61" i="1" s="1"/>
  <c r="V238" i="8"/>
  <c r="F24" i="1"/>
  <c r="F62" i="1" s="1"/>
  <c r="F26" i="1"/>
  <c r="F63" i="1" s="1"/>
  <c r="V169" i="8"/>
  <c r="F21" i="1"/>
  <c r="F60" i="1" s="1"/>
  <c r="P36" i="1"/>
  <c r="U96" i="8"/>
  <c r="F16" i="1"/>
  <c r="U238" i="8"/>
  <c r="U264" i="8"/>
  <c r="U609" i="8"/>
  <c r="V96" i="8"/>
  <c r="N18" i="1"/>
  <c r="L68" i="1" l="1"/>
  <c r="H62" i="1"/>
  <c r="H68" i="1" s="1"/>
  <c r="J35" i="1"/>
  <c r="I35" i="1"/>
  <c r="J26" i="1"/>
  <c r="I26" i="1"/>
  <c r="I24" i="1"/>
  <c r="J24" i="1"/>
  <c r="J22" i="1"/>
  <c r="I22" i="1"/>
  <c r="I21" i="1"/>
  <c r="J21" i="1"/>
  <c r="I16" i="1"/>
  <c r="N16" i="1"/>
  <c r="J16" i="1"/>
  <c r="V609" i="8"/>
  <c r="Q21" i="1"/>
  <c r="R21" i="1" s="1"/>
  <c r="Q26" i="1"/>
  <c r="R26" i="1" s="1"/>
  <c r="Q24" i="1"/>
  <c r="R24" i="1" s="1"/>
  <c r="Q22" i="1"/>
  <c r="R22" i="1" s="1"/>
  <c r="Q35" i="1"/>
  <c r="R35" i="1" s="1"/>
  <c r="M21" i="1"/>
  <c r="N21" i="1"/>
  <c r="N35" i="1"/>
  <c r="M35" i="1"/>
  <c r="N26" i="1"/>
  <c r="M26" i="1"/>
  <c r="N24" i="1"/>
  <c r="M24" i="1"/>
  <c r="M16" i="1" l="1"/>
  <c r="Q16" i="1"/>
  <c r="R16" i="1" s="1"/>
  <c r="P39" i="1" l="1"/>
  <c r="P52" i="1" s="1"/>
  <c r="F41" i="1" s="1"/>
  <c r="K15" i="7" l="1"/>
  <c r="K12" i="7"/>
  <c r="K18" i="7"/>
  <c r="K17" i="7"/>
  <c r="K16" i="7"/>
  <c r="K14" i="7"/>
  <c r="L14" i="7" s="1"/>
  <c r="K13" i="7"/>
  <c r="L13" i="7" s="1"/>
  <c r="F19" i="7"/>
  <c r="E19" i="7"/>
  <c r="J18" i="7"/>
  <c r="L18" i="7" s="1"/>
  <c r="J17" i="7"/>
  <c r="J16" i="7"/>
  <c r="D12" i="7"/>
  <c r="J12" i="7" s="1"/>
  <c r="D15" i="7"/>
  <c r="L17" i="7" l="1"/>
  <c r="L12" i="7"/>
  <c r="K19" i="7"/>
  <c r="L16" i="7"/>
  <c r="D19" i="7"/>
  <c r="L36" i="1" l="1"/>
  <c r="L4" i="6" l="1"/>
  <c r="N4" i="6" s="1"/>
  <c r="L5" i="6"/>
  <c r="N5" i="6" s="1"/>
  <c r="L6" i="6"/>
  <c r="N6" i="6" s="1"/>
  <c r="L7" i="6"/>
  <c r="N7" i="6" s="1"/>
  <c r="L8" i="6"/>
  <c r="N8" i="6" s="1"/>
  <c r="L9" i="6"/>
  <c r="N9" i="6" s="1"/>
  <c r="L10" i="6"/>
  <c r="N10" i="6" s="1"/>
  <c r="L3" i="6"/>
  <c r="N3" i="6" s="1"/>
  <c r="J11" i="6" l="1"/>
  <c r="I11" i="6"/>
  <c r="H11" i="6"/>
  <c r="G11" i="6"/>
  <c r="F11" i="6"/>
  <c r="E11" i="6"/>
  <c r="D11" i="6"/>
  <c r="C11" i="6"/>
  <c r="B10" i="6"/>
  <c r="B9" i="6"/>
  <c r="B8" i="6"/>
  <c r="B7" i="6"/>
  <c r="B6" i="6"/>
  <c r="B5" i="6"/>
  <c r="B4" i="6"/>
  <c r="B3" i="6"/>
  <c r="C2" i="6"/>
  <c r="D2" i="6" s="1"/>
  <c r="E2" i="6" s="1"/>
  <c r="F2" i="6" s="1"/>
  <c r="G2" i="6" s="1"/>
  <c r="H2" i="6" s="1"/>
  <c r="I2" i="6" s="1"/>
  <c r="J2" i="6" s="1"/>
  <c r="B11" i="6" l="1"/>
  <c r="R7" i="1" l="1"/>
  <c r="Q8" i="1"/>
  <c r="I87" i="5" l="1"/>
  <c r="M94" i="5"/>
  <c r="H219" i="5" l="1"/>
  <c r="D219" i="5"/>
  <c r="X233" i="5"/>
  <c r="D218" i="5" s="1"/>
  <c r="F234" i="5" l="1"/>
  <c r="H19" i="5"/>
  <c r="F19" i="5"/>
  <c r="D19" i="5"/>
  <c r="J204" i="5" l="1"/>
  <c r="F113" i="5"/>
  <c r="F88" i="5"/>
  <c r="D88" i="5"/>
  <c r="N33" i="1"/>
  <c r="H28" i="5" l="1"/>
  <c r="N200" i="5"/>
  <c r="M112" i="5"/>
  <c r="H49" i="5" l="1"/>
  <c r="H66" i="5" s="1"/>
  <c r="H83" i="5" s="1"/>
  <c r="H103" i="5" s="1"/>
  <c r="H122" i="5" s="1"/>
  <c r="H139" i="5" s="1"/>
  <c r="H161" i="5" s="1"/>
  <c r="H179" i="5" s="1"/>
  <c r="H196" i="5" s="1"/>
  <c r="H215" i="5" s="1"/>
  <c r="R237" i="5" l="1"/>
  <c r="R228" i="5"/>
  <c r="Q237" i="5"/>
  <c r="Q228" i="5"/>
  <c r="T235" i="5"/>
  <c r="T234" i="5"/>
  <c r="T233" i="5"/>
  <c r="T232" i="5"/>
  <c r="T231" i="5"/>
  <c r="T227" i="5"/>
  <c r="T226" i="5"/>
  <c r="T225" i="5"/>
  <c r="T224" i="5"/>
  <c r="T223" i="5"/>
  <c r="S237" i="5"/>
  <c r="P237" i="5"/>
  <c r="H227" i="5" s="1"/>
  <c r="O237" i="5"/>
  <c r="H226" i="5" s="1"/>
  <c r="N237" i="5"/>
  <c r="H225" i="5" s="1"/>
  <c r="M237" i="5"/>
  <c r="S228" i="5"/>
  <c r="P228" i="5"/>
  <c r="D227" i="5" s="1"/>
  <c r="O228" i="5"/>
  <c r="D226" i="5" s="1"/>
  <c r="N228" i="5"/>
  <c r="D225" i="5" s="1"/>
  <c r="M228" i="5"/>
  <c r="Y239" i="5"/>
  <c r="H220" i="5" s="1"/>
  <c r="Y233" i="5"/>
  <c r="H218" i="5" s="1"/>
  <c r="X239" i="5"/>
  <c r="D220" i="5" s="1"/>
  <c r="Y226" i="5"/>
  <c r="H217" i="5" s="1"/>
  <c r="X226" i="5"/>
  <c r="D217" i="5" s="1"/>
  <c r="Y221" i="5"/>
  <c r="H216" i="5" s="1"/>
  <c r="X221" i="5"/>
  <c r="D216" i="5" s="1"/>
  <c r="N13" i="5"/>
  <c r="H223" i="5" l="1"/>
  <c r="D223" i="5"/>
  <c r="D221" i="5"/>
  <c r="H229" i="5"/>
  <c r="D229" i="5"/>
  <c r="X241" i="5"/>
  <c r="T237" i="5"/>
  <c r="T228" i="5"/>
  <c r="Y241" i="5"/>
  <c r="I219" i="5"/>
  <c r="I217" i="5"/>
  <c r="S214" i="5"/>
  <c r="M14" i="5"/>
  <c r="N250" i="5" l="1"/>
  <c r="O244" i="5"/>
  <c r="N244" i="5"/>
  <c r="H230" i="5"/>
  <c r="J229" i="5"/>
  <c r="I229" i="5"/>
  <c r="I228" i="5"/>
  <c r="J227" i="5"/>
  <c r="I226" i="5"/>
  <c r="I225" i="5"/>
  <c r="I224" i="5"/>
  <c r="D230" i="5"/>
  <c r="J219" i="5"/>
  <c r="J218" i="5"/>
  <c r="I218" i="5"/>
  <c r="J217" i="5"/>
  <c r="I216" i="5"/>
  <c r="J215" i="5"/>
  <c r="I215" i="5"/>
  <c r="F215" i="5"/>
  <c r="D215" i="5"/>
  <c r="H206" i="5"/>
  <c r="F206" i="5"/>
  <c r="D206" i="5"/>
  <c r="I205" i="5"/>
  <c r="I204" i="5"/>
  <c r="J203" i="5"/>
  <c r="I203" i="5"/>
  <c r="H201" i="5"/>
  <c r="F201" i="5"/>
  <c r="D201" i="5"/>
  <c r="J200" i="5"/>
  <c r="I200" i="5"/>
  <c r="J199" i="5"/>
  <c r="I199" i="5"/>
  <c r="J198" i="5"/>
  <c r="I198" i="5"/>
  <c r="I197" i="5"/>
  <c r="J196" i="5"/>
  <c r="I196" i="5"/>
  <c r="F196" i="5"/>
  <c r="D196" i="5"/>
  <c r="H187" i="5"/>
  <c r="F187" i="5"/>
  <c r="D187" i="5"/>
  <c r="I186" i="5"/>
  <c r="J185" i="5"/>
  <c r="I185" i="5"/>
  <c r="H183" i="5"/>
  <c r="F183" i="5"/>
  <c r="D183" i="5"/>
  <c r="J182" i="5"/>
  <c r="I182" i="5"/>
  <c r="I181" i="5"/>
  <c r="J180" i="5"/>
  <c r="I180" i="5"/>
  <c r="J179" i="5"/>
  <c r="I179" i="5"/>
  <c r="F179" i="5"/>
  <c r="D179" i="5"/>
  <c r="H170" i="5"/>
  <c r="F170" i="5"/>
  <c r="D170" i="5"/>
  <c r="I169" i="5"/>
  <c r="I168" i="5"/>
  <c r="I167" i="5"/>
  <c r="H165" i="5"/>
  <c r="F165" i="5"/>
  <c r="D165" i="5"/>
  <c r="I164" i="5"/>
  <c r="I163" i="5"/>
  <c r="I162" i="5"/>
  <c r="J161" i="5"/>
  <c r="I161" i="5"/>
  <c r="F161" i="5"/>
  <c r="D161" i="5"/>
  <c r="H148" i="5"/>
  <c r="F148" i="5"/>
  <c r="D148" i="5"/>
  <c r="I147" i="5"/>
  <c r="I146" i="5"/>
  <c r="I145" i="5"/>
  <c r="H143" i="5"/>
  <c r="F143" i="5"/>
  <c r="D143" i="5"/>
  <c r="I142" i="5"/>
  <c r="I141" i="5"/>
  <c r="I140" i="5"/>
  <c r="J139" i="5"/>
  <c r="I139" i="5"/>
  <c r="F139" i="5"/>
  <c r="D139" i="5"/>
  <c r="H130" i="5"/>
  <c r="D130" i="5"/>
  <c r="I129" i="5"/>
  <c r="I128" i="5"/>
  <c r="H126" i="5"/>
  <c r="F126" i="5"/>
  <c r="D126" i="5"/>
  <c r="I125" i="5"/>
  <c r="I124" i="5"/>
  <c r="I123" i="5"/>
  <c r="J122" i="5"/>
  <c r="I122" i="5"/>
  <c r="F122" i="5"/>
  <c r="D122" i="5"/>
  <c r="D113" i="5"/>
  <c r="I112" i="5"/>
  <c r="I111" i="5"/>
  <c r="H113" i="5"/>
  <c r="H108" i="5"/>
  <c r="F108" i="5"/>
  <c r="D108" i="5"/>
  <c r="I107" i="5"/>
  <c r="I106" i="5"/>
  <c r="I105" i="5"/>
  <c r="J104" i="5"/>
  <c r="I104" i="5"/>
  <c r="J103" i="5"/>
  <c r="I103" i="5"/>
  <c r="F103" i="5"/>
  <c r="D103" i="5"/>
  <c r="D94" i="5"/>
  <c r="I93" i="5"/>
  <c r="F94" i="5"/>
  <c r="I91" i="5"/>
  <c r="I90" i="5"/>
  <c r="H88" i="5"/>
  <c r="J86" i="5"/>
  <c r="I86" i="5"/>
  <c r="I85" i="5"/>
  <c r="J84" i="5"/>
  <c r="I84" i="5"/>
  <c r="J83" i="5"/>
  <c r="I83" i="5"/>
  <c r="F83" i="5"/>
  <c r="D83" i="5"/>
  <c r="H74" i="5"/>
  <c r="F74" i="5"/>
  <c r="D74" i="5"/>
  <c r="I73" i="5"/>
  <c r="I72" i="5"/>
  <c r="H70" i="5"/>
  <c r="F70" i="5"/>
  <c r="D70" i="5"/>
  <c r="I69" i="5"/>
  <c r="I68" i="5"/>
  <c r="I67" i="5"/>
  <c r="J66" i="5"/>
  <c r="I66" i="5"/>
  <c r="F66" i="5"/>
  <c r="D66" i="5"/>
  <c r="H58" i="5"/>
  <c r="F58" i="5"/>
  <c r="D58" i="5"/>
  <c r="J57" i="5"/>
  <c r="I57" i="5"/>
  <c r="I56" i="5"/>
  <c r="I55" i="5"/>
  <c r="H53" i="5"/>
  <c r="F53" i="5"/>
  <c r="D53" i="5"/>
  <c r="I52" i="5"/>
  <c r="I51" i="5"/>
  <c r="J50" i="5"/>
  <c r="I50" i="5"/>
  <c r="J49" i="5"/>
  <c r="I49" i="5"/>
  <c r="F49" i="5"/>
  <c r="D49" i="5"/>
  <c r="H37" i="5"/>
  <c r="F37" i="5"/>
  <c r="D37" i="5"/>
  <c r="I36" i="5"/>
  <c r="J35" i="5"/>
  <c r="I35" i="5"/>
  <c r="H33" i="5"/>
  <c r="F33" i="5"/>
  <c r="D33" i="5"/>
  <c r="J32" i="5"/>
  <c r="I32" i="5"/>
  <c r="I31" i="5"/>
  <c r="I30" i="5"/>
  <c r="J29" i="5"/>
  <c r="I29" i="5"/>
  <c r="J28" i="5"/>
  <c r="I28" i="5"/>
  <c r="F28" i="5"/>
  <c r="D28" i="5"/>
  <c r="I18" i="5"/>
  <c r="J17" i="5"/>
  <c r="I17" i="5"/>
  <c r="I16" i="5"/>
  <c r="F14" i="5"/>
  <c r="I12" i="5"/>
  <c r="J11" i="5"/>
  <c r="I11" i="5"/>
  <c r="J10" i="5"/>
  <c r="D14" i="5"/>
  <c r="I88" i="5" l="1"/>
  <c r="I19" i="5"/>
  <c r="I165" i="5"/>
  <c r="H132" i="5"/>
  <c r="J37" i="5"/>
  <c r="F21" i="5"/>
  <c r="H60" i="5"/>
  <c r="I126" i="5"/>
  <c r="D76" i="5"/>
  <c r="F78" i="5" s="1"/>
  <c r="I183" i="5"/>
  <c r="H172" i="5"/>
  <c r="F39" i="5"/>
  <c r="I37" i="5"/>
  <c r="I70" i="5"/>
  <c r="H76" i="5"/>
  <c r="F96" i="5"/>
  <c r="I143" i="5"/>
  <c r="D150" i="5"/>
  <c r="F152" i="5" s="1"/>
  <c r="I187" i="5"/>
  <c r="H208" i="5"/>
  <c r="N253" i="5"/>
  <c r="D172" i="5"/>
  <c r="F174" i="5" s="1"/>
  <c r="H150" i="5"/>
  <c r="J216" i="5"/>
  <c r="J225" i="5"/>
  <c r="I33" i="5"/>
  <c r="J33" i="5"/>
  <c r="I74" i="5"/>
  <c r="I227" i="5"/>
  <c r="I58" i="5"/>
  <c r="I108" i="5"/>
  <c r="F230" i="5"/>
  <c r="J230" i="5" s="1"/>
  <c r="D60" i="5"/>
  <c r="H62" i="5" s="1"/>
  <c r="I130" i="5"/>
  <c r="I148" i="5"/>
  <c r="J183" i="5"/>
  <c r="F208" i="5"/>
  <c r="F221" i="5"/>
  <c r="I220" i="5"/>
  <c r="J19" i="5"/>
  <c r="J58" i="5"/>
  <c r="D132" i="5"/>
  <c r="F134" i="5" s="1"/>
  <c r="F130" i="5"/>
  <c r="J130" i="5" s="1"/>
  <c r="F150" i="5"/>
  <c r="I170" i="5"/>
  <c r="J187" i="5"/>
  <c r="J201" i="5"/>
  <c r="J220" i="5"/>
  <c r="I223" i="5"/>
  <c r="J226" i="5"/>
  <c r="I92" i="5"/>
  <c r="I94" i="5" s="1"/>
  <c r="J128" i="5"/>
  <c r="F172" i="5"/>
  <c r="F189" i="5"/>
  <c r="I206" i="5"/>
  <c r="J223" i="5"/>
  <c r="F60" i="5"/>
  <c r="I201" i="5"/>
  <c r="J206" i="5"/>
  <c r="I221" i="5"/>
  <c r="D232" i="5"/>
  <c r="H234" i="5" s="1"/>
  <c r="D208" i="5"/>
  <c r="F210" i="5" s="1"/>
  <c r="D189" i="5"/>
  <c r="H191" i="5" s="1"/>
  <c r="H189" i="5"/>
  <c r="H115" i="5"/>
  <c r="D115" i="5"/>
  <c r="H117" i="5" s="1"/>
  <c r="D96" i="5"/>
  <c r="H98" i="5" s="1"/>
  <c r="I53" i="5"/>
  <c r="D39" i="5"/>
  <c r="H41" i="5" s="1"/>
  <c r="H39" i="5"/>
  <c r="D21" i="5"/>
  <c r="H23" i="5" s="1"/>
  <c r="F76" i="5"/>
  <c r="H221" i="5"/>
  <c r="I10" i="5"/>
  <c r="I14" i="5" s="1"/>
  <c r="H14" i="5"/>
  <c r="J53" i="5"/>
  <c r="H94" i="5"/>
  <c r="I110" i="5"/>
  <c r="I113" i="5" s="1"/>
  <c r="P244" i="5"/>
  <c r="J108" i="5"/>
  <c r="I172" i="5" l="1"/>
  <c r="H78" i="5"/>
  <c r="H79" i="5" s="1"/>
  <c r="I150" i="5"/>
  <c r="I76" i="5"/>
  <c r="H134" i="5"/>
  <c r="H135" i="5" s="1"/>
  <c r="H63" i="5"/>
  <c r="I39" i="5"/>
  <c r="I21" i="5"/>
  <c r="I132" i="5"/>
  <c r="I189" i="5"/>
  <c r="H210" i="5"/>
  <c r="H211" i="5" s="1"/>
  <c r="F191" i="5"/>
  <c r="F192" i="5" s="1"/>
  <c r="H174" i="5"/>
  <c r="H175" i="5" s="1"/>
  <c r="H152" i="5"/>
  <c r="H153" i="5" s="1"/>
  <c r="I115" i="5"/>
  <c r="I60" i="5"/>
  <c r="F175" i="5"/>
  <c r="F23" i="5"/>
  <c r="F24" i="5" s="1"/>
  <c r="F62" i="5"/>
  <c r="F63" i="5" s="1"/>
  <c r="I96" i="5"/>
  <c r="F211" i="5"/>
  <c r="F232" i="5"/>
  <c r="F235" i="5" s="1"/>
  <c r="F41" i="5"/>
  <c r="F42" i="5" s="1"/>
  <c r="I230" i="5"/>
  <c r="I232" i="5" s="1"/>
  <c r="F132" i="5"/>
  <c r="F135" i="5" s="1"/>
  <c r="F153" i="5"/>
  <c r="H118" i="5"/>
  <c r="I208" i="5"/>
  <c r="H192" i="5"/>
  <c r="F117" i="5"/>
  <c r="H96" i="5"/>
  <c r="H99" i="5" s="1"/>
  <c r="F98" i="5"/>
  <c r="F99" i="5" s="1"/>
  <c r="F79" i="5"/>
  <c r="H42" i="5"/>
  <c r="J14" i="5"/>
  <c r="H21" i="5"/>
  <c r="H24" i="5" s="1"/>
  <c r="J221" i="5"/>
  <c r="H232" i="5"/>
  <c r="H235" i="5" s="1"/>
  <c r="F115" i="5"/>
  <c r="F118" i="5" l="1"/>
  <c r="M33" i="1" l="1"/>
  <c r="N34" i="1" l="1"/>
  <c r="N31" i="1"/>
  <c r="N27" i="1"/>
  <c r="N25" i="1"/>
  <c r="N23" i="1"/>
  <c r="N22" i="1"/>
  <c r="N20" i="1"/>
  <c r="N15" i="1"/>
  <c r="N14" i="1"/>
  <c r="N13" i="1"/>
  <c r="N12" i="1"/>
  <c r="N11" i="1"/>
  <c r="N10" i="1"/>
  <c r="N9" i="1"/>
  <c r="N8" i="1"/>
  <c r="M8" i="1"/>
  <c r="R8" i="1"/>
  <c r="M9" i="1"/>
  <c r="Q9" i="1"/>
  <c r="R9" i="1" s="1"/>
  <c r="M10" i="1"/>
  <c r="Q10" i="1"/>
  <c r="R10" i="1" s="1"/>
  <c r="M11" i="1"/>
  <c r="Q11" i="1"/>
  <c r="R11" i="1" s="1"/>
  <c r="M12" i="1"/>
  <c r="Q12" i="1"/>
  <c r="R12" i="1" s="1"/>
  <c r="M13" i="1"/>
  <c r="Q13" i="1"/>
  <c r="R13" i="1" s="1"/>
  <c r="M14" i="1"/>
  <c r="Q14" i="1"/>
  <c r="R14" i="1" s="1"/>
  <c r="M15" i="1"/>
  <c r="Q15" i="1"/>
  <c r="R15" i="1" s="1"/>
  <c r="M20" i="1"/>
  <c r="M22" i="1"/>
  <c r="M23" i="1"/>
  <c r="M25" i="1"/>
  <c r="M27" i="1"/>
  <c r="M31" i="1"/>
  <c r="M34" i="1"/>
  <c r="L39" i="1" l="1"/>
  <c r="V512" i="8"/>
  <c r="U512" i="8"/>
  <c r="Q515" i="8"/>
  <c r="S515" i="8"/>
  <c r="Q517" i="8" l="1"/>
  <c r="Q612" i="8" s="1"/>
  <c r="Q615" i="8" s="1"/>
  <c r="Q624" i="8"/>
  <c r="Q625" i="8" s="1"/>
  <c r="S517" i="8"/>
  <c r="F32" i="1" s="1"/>
  <c r="F66" i="1" s="1"/>
  <c r="S624" i="8"/>
  <c r="U515" i="8"/>
  <c r="U517" i="8" s="1"/>
  <c r="V515" i="8"/>
  <c r="V517" i="8" l="1"/>
  <c r="J32" i="1"/>
  <c r="I32" i="1"/>
  <c r="Q32" i="1"/>
  <c r="R32" i="1" s="1"/>
  <c r="M32" i="1"/>
  <c r="N32" i="1"/>
  <c r="G349" i="8"/>
  <c r="G619" i="8" s="1"/>
  <c r="G410" i="8" l="1"/>
  <c r="G612" i="8" s="1"/>
  <c r="G615" i="8" s="1"/>
  <c r="G625" i="8"/>
  <c r="S325" i="8"/>
  <c r="V325" i="8" l="1"/>
  <c r="U325" i="8"/>
  <c r="U349" i="8" s="1"/>
  <c r="U410" i="8" s="1"/>
  <c r="S349" i="8"/>
  <c r="S619" i="8" s="1"/>
  <c r="V349" i="8" l="1"/>
  <c r="S410" i="8"/>
  <c r="F29" i="1"/>
  <c r="J29" i="1" l="1"/>
  <c r="I29" i="1"/>
  <c r="V410" i="8"/>
  <c r="F30" i="1"/>
  <c r="F65" i="1" s="1"/>
  <c r="N29" i="1"/>
  <c r="M29" i="1"/>
  <c r="Q29" i="1"/>
  <c r="J30" i="1" l="1"/>
  <c r="I30" i="1"/>
  <c r="Q30" i="1"/>
  <c r="R30" i="1" s="1"/>
  <c r="N30" i="1"/>
  <c r="M30" i="1"/>
  <c r="R29" i="1"/>
  <c r="R122" i="8" l="1"/>
  <c r="R145" i="8" l="1"/>
  <c r="R612" i="8" s="1"/>
  <c r="R615" i="8" s="1"/>
  <c r="R621" i="8"/>
  <c r="R625" i="8" s="1"/>
  <c r="U113" i="8"/>
  <c r="V113" i="8"/>
  <c r="J122" i="8"/>
  <c r="J145" i="8" s="1"/>
  <c r="J612" i="8" s="1"/>
  <c r="J615" i="8" s="1"/>
  <c r="S110" i="8"/>
  <c r="V110" i="8" l="1"/>
  <c r="J621" i="8"/>
  <c r="J625" i="8" s="1"/>
  <c r="U110" i="8"/>
  <c r="U122" i="8" s="1"/>
  <c r="U145" i="8" s="1"/>
  <c r="S122" i="8"/>
  <c r="S621" i="8" s="1"/>
  <c r="V122" i="8" l="1"/>
  <c r="S145" i="8"/>
  <c r="V145" i="8" s="1"/>
  <c r="F19" i="1" l="1"/>
  <c r="N19" i="1" s="1"/>
  <c r="I19" i="1" l="1"/>
  <c r="M19" i="1"/>
  <c r="J19" i="1"/>
  <c r="F59" i="1"/>
  <c r="Q19" i="1"/>
  <c r="R19" i="1" s="1"/>
  <c r="I311" i="8"/>
  <c r="S307" i="8"/>
  <c r="V307" i="8" s="1"/>
  <c r="I622" i="8" l="1"/>
  <c r="I625" i="8" s="1"/>
  <c r="I319" i="8"/>
  <c r="I612" i="8" s="1"/>
  <c r="I615" i="8" s="1"/>
  <c r="S311" i="8"/>
  <c r="U307" i="8"/>
  <c r="U311" i="8" s="1"/>
  <c r="U319" i="8" s="1"/>
  <c r="U612" i="8" s="1"/>
  <c r="U615" i="8" s="1"/>
  <c r="S622" i="8" l="1"/>
  <c r="S625" i="8" s="1"/>
  <c r="S319" i="8"/>
  <c r="V311" i="8"/>
  <c r="F28" i="1" l="1"/>
  <c r="S612" i="8"/>
  <c r="V319" i="8"/>
  <c r="V612" i="8" l="1"/>
  <c r="S615" i="8"/>
  <c r="V615" i="8" s="1"/>
  <c r="J28" i="1"/>
  <c r="I28" i="1"/>
  <c r="I36" i="1" s="1"/>
  <c r="I39" i="1" s="1"/>
  <c r="F36" i="1"/>
  <c r="F39" i="1" s="1"/>
  <c r="Q28" i="1"/>
  <c r="M28" i="1"/>
  <c r="M36" i="1" s="1"/>
  <c r="F64" i="1"/>
  <c r="F68" i="1" s="1"/>
  <c r="N28" i="1"/>
  <c r="R28" i="1" l="1"/>
  <c r="Q36" i="1"/>
  <c r="R36" i="1" s="1"/>
  <c r="N36" i="1"/>
  <c r="J36" i="1"/>
  <c r="H15" i="7" l="1"/>
  <c r="F42" i="1"/>
  <c r="J15" i="7" l="1"/>
  <c r="H19" i="7"/>
  <c r="J19" i="7" l="1"/>
  <c r="L15" i="7"/>
  <c r="L19" i="7" s="1"/>
</calcChain>
</file>

<file path=xl/sharedStrings.xml><?xml version="1.0" encoding="utf-8"?>
<sst xmlns="http://schemas.openxmlformats.org/spreadsheetml/2006/main" count="1891" uniqueCount="963">
  <si>
    <t>Property Taxes</t>
  </si>
  <si>
    <t>Other Taxes</t>
  </si>
  <si>
    <t>Intergovernmental</t>
  </si>
  <si>
    <t>Licenses, Permits &amp; Fees</t>
  </si>
  <si>
    <t>Investment Income</t>
  </si>
  <si>
    <t>Charges for Services</t>
  </si>
  <si>
    <t>Fines &amp; Forfeitures</t>
  </si>
  <si>
    <t>Other</t>
  </si>
  <si>
    <t>Other Financing Sources</t>
  </si>
  <si>
    <t>Revenues</t>
  </si>
  <si>
    <t>23 - Boards &amp; Commissions</t>
  </si>
  <si>
    <t xml:space="preserve"> Total General Fund Revenues</t>
  </si>
  <si>
    <t>Expenditures</t>
  </si>
  <si>
    <t xml:space="preserve"> Total General Fund Expenditures</t>
  </si>
  <si>
    <t>Category / Department</t>
  </si>
  <si>
    <t>Net Surplus/(Deficit)</t>
  </si>
  <si>
    <t>Employee Benefits</t>
  </si>
  <si>
    <t>Commodities</t>
  </si>
  <si>
    <t>Capital Outlay</t>
  </si>
  <si>
    <t>Debt Service</t>
  </si>
  <si>
    <t>Contractual Services</t>
  </si>
  <si>
    <t>% Variance vs. Prior Year</t>
  </si>
  <si>
    <t>F/(U) Budget Variance</t>
  </si>
  <si>
    <t>F/(U) Variance vs. Prior Year</t>
  </si>
  <si>
    <t>% YTD Collected/ Spent to Budget</t>
  </si>
  <si>
    <t>Revenue/ Spending Category</t>
  </si>
  <si>
    <t xml:space="preserve"> Budget Variance F/(U)</t>
  </si>
  <si>
    <t xml:space="preserve"> % Rec'd / Used</t>
  </si>
  <si>
    <t>Personal Services (Labor)</t>
  </si>
  <si>
    <t>GARBAGE FUND 03</t>
  </si>
  <si>
    <t xml:space="preserve"> Total Garbage Fund Revenues</t>
  </si>
  <si>
    <t xml:space="preserve"> Total Garbage Fund Expenditures</t>
  </si>
  <si>
    <t>IMRF FUND 07</t>
  </si>
  <si>
    <t xml:space="preserve"> Total IMRF Fund Revenues</t>
  </si>
  <si>
    <t xml:space="preserve"> Total IMRF Fund Expenditures</t>
  </si>
  <si>
    <t>MOTOR FUEL TAX FUND 10</t>
  </si>
  <si>
    <t xml:space="preserve"> Total MFT Fund Revenues</t>
  </si>
  <si>
    <t xml:space="preserve"> Total MFT Fund Expenditures</t>
  </si>
  <si>
    <t>CDBG FUND 11</t>
  </si>
  <si>
    <t xml:space="preserve"> Total CDBG Fund Revenues</t>
  </si>
  <si>
    <t xml:space="preserve"> Total CDBG Fund Expenditures</t>
  </si>
  <si>
    <t>Roosevelt Road TIF FUND 15</t>
  </si>
  <si>
    <t xml:space="preserve"> Total Fund Revenues</t>
  </si>
  <si>
    <t xml:space="preserve"> Total Fund Expenditures</t>
  </si>
  <si>
    <t>22nd &amp; 17th (Village Square) TIF FUND 16</t>
  </si>
  <si>
    <t>27th Ave (HEADLEY) TIF FUND 17</t>
  </si>
  <si>
    <t>17th Avenue North  TIF FUND 18</t>
  </si>
  <si>
    <t>DEBT SERVICE FUND 30</t>
  </si>
  <si>
    <t>CAPITAL PROJECTS FUND 40</t>
  </si>
  <si>
    <t>WATER &amp; SEWER FUND 50</t>
  </si>
  <si>
    <t>Transmission/Distribution</t>
  </si>
  <si>
    <t>Respectfully Submitted By</t>
  </si>
  <si>
    <t>Beginning Fund Balance</t>
  </si>
  <si>
    <t>Ending Fund Balance</t>
  </si>
  <si>
    <t>52 - Transportation</t>
  </si>
  <si>
    <t xml:space="preserve"> </t>
  </si>
  <si>
    <t>Transfers Out</t>
  </si>
  <si>
    <t>Unaudited</t>
  </si>
  <si>
    <t>Operating Transfer In</t>
  </si>
  <si>
    <t>Seasonal Employees</t>
  </si>
  <si>
    <t>Beginning Balance</t>
  </si>
  <si>
    <t>Ending Balance</t>
  </si>
  <si>
    <t>Street Repaving</t>
  </si>
  <si>
    <t>Street Reconstruction</t>
  </si>
  <si>
    <t>Reimbursement of Expenses</t>
  </si>
  <si>
    <t>19th Street  TIF FUND 19</t>
  </si>
  <si>
    <t>Rentals</t>
  </si>
  <si>
    <t>Rental Income</t>
  </si>
  <si>
    <t>Wages</t>
  </si>
  <si>
    <t>Contract</t>
  </si>
  <si>
    <t>Depreciation</t>
  </si>
  <si>
    <t>Fund Balance Beginning</t>
  </si>
  <si>
    <t>Fund Balance Ending</t>
  </si>
  <si>
    <t>budget</t>
  </si>
  <si>
    <t>system</t>
  </si>
  <si>
    <t>Prior</t>
  </si>
  <si>
    <t>Current</t>
  </si>
  <si>
    <t>TOTAL</t>
  </si>
  <si>
    <t>REVENUES</t>
  </si>
  <si>
    <t>Emp Ben</t>
  </si>
  <si>
    <t>Capital</t>
  </si>
  <si>
    <t>Transmission</t>
  </si>
  <si>
    <t>Source</t>
  </si>
  <si>
    <t>Dept #</t>
  </si>
  <si>
    <t xml:space="preserve">Gregory J Peters, Interim Director of Finance </t>
  </si>
  <si>
    <t>Summary Statement of Revenues and Expenditures</t>
  </si>
  <si>
    <t>Revenues to the Right</t>
  </si>
  <si>
    <t>`</t>
  </si>
  <si>
    <t>Current Year  Year 16/17  Budget</t>
  </si>
  <si>
    <t xml:space="preserve">Village of Broadview - FY17 </t>
  </si>
  <si>
    <t>Commentaries</t>
  </si>
  <si>
    <t xml:space="preserve">Prior Year  2015/16  Actual thru 10/31/15 </t>
  </si>
  <si>
    <t>Current Year  Year 16/17  Through 10/31/16</t>
  </si>
  <si>
    <t>For Six Months Ended October 31, 2016   (50.0% of the Fiscal Year)</t>
  </si>
  <si>
    <t>For Period Ended April 30, 2017</t>
  </si>
  <si>
    <t>Executive</t>
  </si>
  <si>
    <t>Village Clerk</t>
  </si>
  <si>
    <t>Finance</t>
  </si>
  <si>
    <t>Grounds</t>
  </si>
  <si>
    <t>Buildings</t>
  </si>
  <si>
    <t>Police</t>
  </si>
  <si>
    <t>Fire</t>
  </si>
  <si>
    <t>Public Works</t>
  </si>
  <si>
    <t>Total Salaries</t>
  </si>
  <si>
    <t>Jan -/Apr</t>
  </si>
  <si>
    <t>GENERAL FUND - UNAUDITED</t>
  </si>
  <si>
    <t>General</t>
  </si>
  <si>
    <t>Capital Projects</t>
  </si>
  <si>
    <t>Motor Fuel</t>
  </si>
  <si>
    <t>Water</t>
  </si>
  <si>
    <t>Fiscal Year 2016</t>
  </si>
  <si>
    <t>Fiscal Year 2017</t>
  </si>
  <si>
    <t>Net Activity</t>
  </si>
  <si>
    <t>Funds:</t>
  </si>
  <si>
    <t>Other Non-Major</t>
  </si>
  <si>
    <t>TIF Funds</t>
  </si>
  <si>
    <t>Unrestricted</t>
  </si>
  <si>
    <t>Restricted</t>
  </si>
  <si>
    <t>VILLAGE OF BROADVIEW</t>
  </si>
  <si>
    <t>Summary Statement of Fund Balances - 2017 Fiscal Year</t>
  </si>
  <si>
    <t>ALL FUNDS - UNAUDITED</t>
  </si>
  <si>
    <t>Fiscal Year 2017 Estimated</t>
  </si>
  <si>
    <t>Summary Statement of Revenues and Expenditures - 2018 Fiscal Year</t>
  </si>
  <si>
    <t xml:space="preserve">UNAUDITED YTD </t>
  </si>
  <si>
    <t xml:space="preserve">UNAUDITED Current Month </t>
  </si>
  <si>
    <t>Transfer In</t>
  </si>
  <si>
    <t>Bonds Issued</t>
  </si>
  <si>
    <t>NET SURPLUS/(DEFICIT)</t>
  </si>
  <si>
    <t>TOTAL GENERAL FUND</t>
  </si>
  <si>
    <t>TOTAL PUBLIC WORKS</t>
  </si>
  <si>
    <t xml:space="preserve">WORKER'S COMPENSATION INS.      </t>
  </si>
  <si>
    <t xml:space="preserve">01-73-5615     </t>
  </si>
  <si>
    <t xml:space="preserve">OTHER                           </t>
  </si>
  <si>
    <t xml:space="preserve">CHAIN SAW                       </t>
  </si>
  <si>
    <t xml:space="preserve">01-73-5459     </t>
  </si>
  <si>
    <t xml:space="preserve">MECHANIC TOOLS                  </t>
  </si>
  <si>
    <t xml:space="preserve">01-73-5433     </t>
  </si>
  <si>
    <t xml:space="preserve">STREET SWEEPER/STREET EQUIP     </t>
  </si>
  <si>
    <t xml:space="preserve">01-73-5425     </t>
  </si>
  <si>
    <t xml:space="preserve">DISC CHIPPER - STREET EQUIPMENT </t>
  </si>
  <si>
    <t xml:space="preserve">01-73-5420     </t>
  </si>
  <si>
    <t xml:space="preserve">COMPUTER HARDWARE/SOFTWARE      </t>
  </si>
  <si>
    <t xml:space="preserve">01-73-5413     </t>
  </si>
  <si>
    <t xml:space="preserve">MACHINERY/EQUIPMENT             </t>
  </si>
  <si>
    <t xml:space="preserve">01-73-5409     </t>
  </si>
  <si>
    <t xml:space="preserve">CAPITAL OUTLAY                  </t>
  </si>
  <si>
    <t xml:space="preserve">R &amp; M: FORESTRY EQUIPMENT       </t>
  </si>
  <si>
    <t xml:space="preserve">01-73-5358     </t>
  </si>
  <si>
    <t xml:space="preserve">REPAIR/MAINT. - PARKWAYS        </t>
  </si>
  <si>
    <t xml:space="preserve">01-73-5352     </t>
  </si>
  <si>
    <t xml:space="preserve">REPAIR/MAINT. - MOTOR EQUIP     </t>
  </si>
  <si>
    <t xml:space="preserve">01-73-5350     </t>
  </si>
  <si>
    <t xml:space="preserve">WEED CONTROL                    </t>
  </si>
  <si>
    <t xml:space="preserve">01-73-5348     </t>
  </si>
  <si>
    <t xml:space="preserve">STREET SIGNS                    </t>
  </si>
  <si>
    <t xml:space="preserve">01-73-5342     </t>
  </si>
  <si>
    <t xml:space="preserve">PLOWING EQUIPMENT               </t>
  </si>
  <si>
    <t xml:space="preserve">01-73-5341     </t>
  </si>
  <si>
    <t xml:space="preserve">LEAFING SUPPLIES                </t>
  </si>
  <si>
    <t xml:space="preserve">01-73-5328     </t>
  </si>
  <si>
    <t xml:space="preserve">SUPPLIES - SNOW &amp; ICE CONTROL   </t>
  </si>
  <si>
    <t xml:space="preserve">01-73-5327     </t>
  </si>
  <si>
    <t xml:space="preserve">TOOLS &amp; SUPPLIES                </t>
  </si>
  <si>
    <t xml:space="preserve">01-73-5326     </t>
  </si>
  <si>
    <t xml:space="preserve">MEDICAL EXAM-VACCINATIONS       </t>
  </si>
  <si>
    <t xml:space="preserve">01-73-5323     </t>
  </si>
  <si>
    <t xml:space="preserve">SUPPLIES - OFFICE               </t>
  </si>
  <si>
    <t xml:space="preserve">01-73-5316     </t>
  </si>
  <si>
    <t xml:space="preserve">GAS/OIL                         </t>
  </si>
  <si>
    <t xml:space="preserve">01-73-5302     </t>
  </si>
  <si>
    <t xml:space="preserve">DUMPING FEES - FORESTRY         </t>
  </si>
  <si>
    <t xml:space="preserve">01-73-5289     </t>
  </si>
  <si>
    <t xml:space="preserve">RODENT CONTROL                  </t>
  </si>
  <si>
    <t xml:space="preserve">01-73-5283     </t>
  </si>
  <si>
    <t xml:space="preserve">COMMODITIES                     </t>
  </si>
  <si>
    <t xml:space="preserve">RETIREE DENTAL INS - 7/1/06     </t>
  </si>
  <si>
    <t xml:space="preserve">01-73-5276.4   </t>
  </si>
  <si>
    <t xml:space="preserve">RETIREE HEALTH CARE PLAN        </t>
  </si>
  <si>
    <t xml:space="preserve">01-73-5276     </t>
  </si>
  <si>
    <t xml:space="preserve">DENTAL INSURANCE - 7/1/06       </t>
  </si>
  <si>
    <t xml:space="preserve">01-73-5275.4   </t>
  </si>
  <si>
    <t xml:space="preserve">EMPLOYEE VISION INSURANCE       </t>
  </si>
  <si>
    <t xml:space="preserve">01-73-5275.3   </t>
  </si>
  <si>
    <t xml:space="preserve">EMPLOYEE LIFE INSURANCE         </t>
  </si>
  <si>
    <t xml:space="preserve">01-73-5275.2   </t>
  </si>
  <si>
    <t xml:space="preserve">EMPLOYEE HEALTH CARE PLAN       </t>
  </si>
  <si>
    <t xml:space="preserve">01-73-5275     </t>
  </si>
  <si>
    <t>EMPLOYEE BENEFITS</t>
  </si>
  <si>
    <t xml:space="preserve">TOWING &amp; STORAGE EXPENSE        </t>
  </si>
  <si>
    <t xml:space="preserve">01-73-5269     </t>
  </si>
  <si>
    <t xml:space="preserve">DUES &amp; PUBLICATIONS             </t>
  </si>
  <si>
    <t xml:space="preserve">01-73-5271     </t>
  </si>
  <si>
    <t xml:space="preserve">UNIFORM RENTAL                  </t>
  </si>
  <si>
    <t xml:space="preserve">01-73-5268     </t>
  </si>
  <si>
    <t xml:space="preserve">SEMINARS/CONFERENCES            </t>
  </si>
  <si>
    <t xml:space="preserve">01-73-5253     </t>
  </si>
  <si>
    <t xml:space="preserve">R &amp; M:  OFFICE EQUIPMENT        </t>
  </si>
  <si>
    <t xml:space="preserve">REPAIR/MAINT. - RADIO SYSTEM    </t>
  </si>
  <si>
    <t xml:space="preserve">01-73-5242     </t>
  </si>
  <si>
    <t xml:space="preserve">R &amp; M: GROUNDS                  </t>
  </si>
  <si>
    <t xml:space="preserve">01-73-5241     </t>
  </si>
  <si>
    <t xml:space="preserve">REPAIR/MAINT - BUILDING         </t>
  </si>
  <si>
    <t xml:space="preserve">01-73-5240     </t>
  </si>
  <si>
    <t xml:space="preserve">REPAIR/MAINT. - TRAFFIC LIGHTS  </t>
  </si>
  <si>
    <t xml:space="preserve">01-73-5239     </t>
  </si>
  <si>
    <t xml:space="preserve">REPAIR/MAINT. - STREET LIGHTS   </t>
  </si>
  <si>
    <t xml:space="preserve">01-73-5238     </t>
  </si>
  <si>
    <t xml:space="preserve">SIDEWALK RECONSTRUCTION         </t>
  </si>
  <si>
    <t xml:space="preserve">01-73-5237.2   </t>
  </si>
  <si>
    <t xml:space="preserve">STREET MAINTENANCE              </t>
  </si>
  <si>
    <t xml:space="preserve">01-73-5236     </t>
  </si>
  <si>
    <t xml:space="preserve">TREE REPLACEMENT                </t>
  </si>
  <si>
    <t xml:space="preserve">01-73-5235     </t>
  </si>
  <si>
    <t xml:space="preserve">STREET LIGHTING                 </t>
  </si>
  <si>
    <t xml:space="preserve">01-73-5233     </t>
  </si>
  <si>
    <t xml:space="preserve">EXPENSES FOR JULIE"    </t>
  </si>
  <si>
    <t xml:space="preserve">01-73-5226     </t>
  </si>
  <si>
    <t xml:space="preserve">RENTAL OF BARRICADES            </t>
  </si>
  <si>
    <t xml:space="preserve">01-73-5219     </t>
  </si>
  <si>
    <t xml:space="preserve">VEHICLE INSURANCE               </t>
  </si>
  <si>
    <t xml:space="preserve">01-73-5218     </t>
  </si>
  <si>
    <t xml:space="preserve">LIABILITY INSURANCE             </t>
  </si>
  <si>
    <t xml:space="preserve">01-73-5217     </t>
  </si>
  <si>
    <t xml:space="preserve">TREE REMOVAL &amp; TRIMMING         </t>
  </si>
  <si>
    <t xml:space="preserve">01-73-5209     </t>
  </si>
  <si>
    <t xml:space="preserve">TELEPHONE                       </t>
  </si>
  <si>
    <t xml:space="preserve">01-73-5205     </t>
  </si>
  <si>
    <t xml:space="preserve">LEGAL PROFESSIONAL SERVICES     </t>
  </si>
  <si>
    <t xml:space="preserve">01-73-5202     </t>
  </si>
  <si>
    <t xml:space="preserve">PROFESSIONAL SERVICES           </t>
  </si>
  <si>
    <t xml:space="preserve">01-73-5201     </t>
  </si>
  <si>
    <t xml:space="preserve">CONTRACTUAL SERVICES            </t>
  </si>
  <si>
    <t xml:space="preserve">MISCELLANEOUS                   </t>
  </si>
  <si>
    <t xml:space="preserve">01-73-5190     </t>
  </si>
  <si>
    <t xml:space="preserve">ADMINISTRATIVE CLERK            </t>
  </si>
  <si>
    <t xml:space="preserve">01-73-5188     </t>
  </si>
  <si>
    <t xml:space="preserve">EMPLOYEE WAGES                  </t>
  </si>
  <si>
    <t xml:space="preserve">01-73-5170     </t>
  </si>
  <si>
    <t xml:space="preserve">DIRECTOR OF PUBLIC WORKS        </t>
  </si>
  <si>
    <t xml:space="preserve">01-73-5165     </t>
  </si>
  <si>
    <t xml:space="preserve">MECHANIC - SICK TIME OFF        </t>
  </si>
  <si>
    <t xml:space="preserve">01-73-5164.1   </t>
  </si>
  <si>
    <t xml:space="preserve">MECHANIC                        </t>
  </si>
  <si>
    <t xml:space="preserve">01-73-5164     </t>
  </si>
  <si>
    <t xml:space="preserve">SEASONAL EMPLOYEES              </t>
  </si>
  <si>
    <t xml:space="preserve">01-73-5159     </t>
  </si>
  <si>
    <t xml:space="preserve">OVERTIME                        </t>
  </si>
  <si>
    <t xml:space="preserve">01-73-5148     </t>
  </si>
  <si>
    <t xml:space="preserve">% YTD </t>
  </si>
  <si>
    <t>VARIANCE</t>
  </si>
  <si>
    <t>YEAR TO DATE</t>
  </si>
  <si>
    <t xml:space="preserve">PERSONAL SERVICES               </t>
  </si>
  <si>
    <t>F/(U) BUDGET</t>
  </si>
  <si>
    <t>UNAUDITED</t>
  </si>
  <si>
    <t xml:space="preserve">STREET DEPARTMENT               </t>
  </si>
  <si>
    <t xml:space="preserve">01-52-5302     </t>
  </si>
  <si>
    <t xml:space="preserve">OTHER CONTRACTUAL               </t>
  </si>
  <si>
    <t xml:space="preserve">01-52-5290     </t>
  </si>
  <si>
    <t xml:space="preserve">PACE PROGRAM FEES               </t>
  </si>
  <si>
    <t xml:space="preserve">01-52-5275     </t>
  </si>
  <si>
    <t xml:space="preserve">PUBLIC BUS SERVICE              </t>
  </si>
  <si>
    <t>TOTAL POLICE DEPARTMENT</t>
  </si>
  <si>
    <t xml:space="preserve">CONTINGENCY                     </t>
  </si>
  <si>
    <t xml:space="preserve">01-46-5505     </t>
  </si>
  <si>
    <t xml:space="preserve">FORFEITED FUNDS EXPENDITURES    </t>
  </si>
  <si>
    <t xml:space="preserve">01-46-5503     </t>
  </si>
  <si>
    <t xml:space="preserve">RADIO EQUIPMENT                 </t>
  </si>
  <si>
    <t xml:space="preserve">01-46-5430     </t>
  </si>
  <si>
    <t xml:space="preserve">OTHER EQUIPMENT                 </t>
  </si>
  <si>
    <t xml:space="preserve">01-46-5413     </t>
  </si>
  <si>
    <t xml:space="preserve">OFFICE EQUIPMENT                </t>
  </si>
  <si>
    <t xml:space="preserve">01-46-5411     </t>
  </si>
  <si>
    <t xml:space="preserve">AUTOMOTIVE EQUIPMENT            </t>
  </si>
  <si>
    <t xml:space="preserve">01-46-5407     </t>
  </si>
  <si>
    <t xml:space="preserve">ACCIDENTS / SQUADS              </t>
  </si>
  <si>
    <t xml:space="preserve">01-46-5350.1   </t>
  </si>
  <si>
    <t xml:space="preserve">R&amp;M MOTOR EQUIPMENT             </t>
  </si>
  <si>
    <t xml:space="preserve">01-46-5350     </t>
  </si>
  <si>
    <t xml:space="preserve">BOARD OF PRISONERS              </t>
  </si>
  <si>
    <t xml:space="preserve">01-46-5334     </t>
  </si>
  <si>
    <t xml:space="preserve">DARE PROGRAM                    </t>
  </si>
  <si>
    <t xml:space="preserve">01-46-5333     </t>
  </si>
  <si>
    <t xml:space="preserve">CRIME PREVENTION/RELATIONS      </t>
  </si>
  <si>
    <t xml:space="preserve">01-46-5332     </t>
  </si>
  <si>
    <t xml:space="preserve">01-46-5326     </t>
  </si>
  <si>
    <t xml:space="preserve">SUPPLIES - TRAINING AIDS        </t>
  </si>
  <si>
    <t xml:space="preserve">01-46-5324     </t>
  </si>
  <si>
    <t xml:space="preserve">SUPPLIES - RADIO/ELECTRONICS    </t>
  </si>
  <si>
    <t xml:space="preserve">01-46-5322     </t>
  </si>
  <si>
    <t xml:space="preserve">PHOTOGRAPHY                     </t>
  </si>
  <si>
    <t xml:space="preserve">01-46-5320     </t>
  </si>
  <si>
    <t xml:space="preserve">01-46-5316     </t>
  </si>
  <si>
    <t xml:space="preserve">UNIFORMS                        </t>
  </si>
  <si>
    <t xml:space="preserve">01-46-5306     </t>
  </si>
  <si>
    <t xml:space="preserve">01-46-5302     </t>
  </si>
  <si>
    <t xml:space="preserve">REPAIR/MAINT - OTHER EQUIPMENT  </t>
  </si>
  <si>
    <t xml:space="preserve">01-46-5293     </t>
  </si>
  <si>
    <t xml:space="preserve">ANIMAL CONTROL                  </t>
  </si>
  <si>
    <t xml:space="preserve">01-46-5290.1   </t>
  </si>
  <si>
    <t xml:space="preserve">01-46-5290     </t>
  </si>
  <si>
    <t xml:space="preserve">01-46-5276.4   </t>
  </si>
  <si>
    <t xml:space="preserve">01-46-5276     </t>
  </si>
  <si>
    <t xml:space="preserve">01-46-5275.4   </t>
  </si>
  <si>
    <t xml:space="preserve">01-46-5275.3   </t>
  </si>
  <si>
    <t xml:space="preserve">01-46-5275.2   </t>
  </si>
  <si>
    <t xml:space="preserve">01-46-5275     </t>
  </si>
  <si>
    <t xml:space="preserve">POSTAGE                         </t>
  </si>
  <si>
    <t xml:space="preserve">01-46-5272     </t>
  </si>
  <si>
    <t xml:space="preserve">01-46-5271     </t>
  </si>
  <si>
    <t xml:space="preserve">01-46-5269     </t>
  </si>
  <si>
    <t xml:space="preserve">TRAINING SCHOOL EXP.            </t>
  </si>
  <si>
    <t xml:space="preserve">01-46-5266     </t>
  </si>
  <si>
    <t xml:space="preserve">INSTALLATION - EQUIPMENT        </t>
  </si>
  <si>
    <t xml:space="preserve">01-46-5262     </t>
  </si>
  <si>
    <t xml:space="preserve">LEAD SERVICES                   </t>
  </si>
  <si>
    <t xml:space="preserve">01-46-5260     </t>
  </si>
  <si>
    <t xml:space="preserve">TRAVEL EXPENSE                  </t>
  </si>
  <si>
    <t xml:space="preserve">01-46-5255     </t>
  </si>
  <si>
    <t xml:space="preserve">01-46-5253     </t>
  </si>
  <si>
    <t xml:space="preserve">SHOOTING RANGE MAINTENANCE      </t>
  </si>
  <si>
    <t xml:space="preserve">01-46-5250     </t>
  </si>
  <si>
    <t xml:space="preserve">MAINTENANCE - COMPUTER          </t>
  </si>
  <si>
    <t xml:space="preserve">01-46-5245     </t>
  </si>
  <si>
    <t xml:space="preserve">R&amp;M OFFICE EQUIPMENT            </t>
  </si>
  <si>
    <t xml:space="preserve">01-46-5244     </t>
  </si>
  <si>
    <t xml:space="preserve">RADIO ROOM MAINTENANCE AGRMNT   </t>
  </si>
  <si>
    <t xml:space="preserve">01-46-5242.1   </t>
  </si>
  <si>
    <t xml:space="preserve">REPAIR/MAINT RADIO EQUIPMENT    </t>
  </si>
  <si>
    <t xml:space="preserve">01-46-5242     </t>
  </si>
  <si>
    <t xml:space="preserve">R &amp; M - BUILDINGS               </t>
  </si>
  <si>
    <t xml:space="preserve">01-46-5240     </t>
  </si>
  <si>
    <t xml:space="preserve">INVESTIGATIVE OPERATIONS        </t>
  </si>
  <si>
    <t xml:space="preserve">01-46-5230     </t>
  </si>
  <si>
    <t xml:space="preserve">WORKMENS COMPENSATION INSURANCE </t>
  </si>
  <si>
    <t xml:space="preserve">01-46-5219     </t>
  </si>
  <si>
    <t xml:space="preserve">01-46-5218     </t>
  </si>
  <si>
    <t xml:space="preserve">01-46-5217     </t>
  </si>
  <si>
    <t xml:space="preserve">SOCIAL WORKER PROGRAM           </t>
  </si>
  <si>
    <t xml:space="preserve">01-46-5212     </t>
  </si>
  <si>
    <t xml:space="preserve">01-46-5205     </t>
  </si>
  <si>
    <t xml:space="preserve">LEGAL SERVICES                  </t>
  </si>
  <si>
    <t xml:space="preserve">01-46-5202     </t>
  </si>
  <si>
    <t xml:space="preserve">HEARING OFFICER ATTORNEY-POLICE </t>
  </si>
  <si>
    <t xml:space="preserve">01-46-5201.1   </t>
  </si>
  <si>
    <t xml:space="preserve">01-46-5201     </t>
  </si>
  <si>
    <t xml:space="preserve">SECRETARY                       </t>
  </si>
  <si>
    <t xml:space="preserve">01-46-5187     </t>
  </si>
  <si>
    <t xml:space="preserve">POLICE PENSION CONTRIBUTION     </t>
  </si>
  <si>
    <t xml:space="preserve">01-46-5180     </t>
  </si>
  <si>
    <t xml:space="preserve">CROSSING GUARDS                 </t>
  </si>
  <si>
    <t xml:space="preserve">01-46-5152     </t>
  </si>
  <si>
    <t xml:space="preserve">INCENTIVE EDUCATIONAL DAY       </t>
  </si>
  <si>
    <t xml:space="preserve">01-46-5150     </t>
  </si>
  <si>
    <t xml:space="preserve">01-46-5148     </t>
  </si>
  <si>
    <t xml:space="preserve">HOLIDAY PAY                     </t>
  </si>
  <si>
    <t xml:space="preserve">01-46-5146     </t>
  </si>
  <si>
    <t xml:space="preserve">MATRON                          </t>
  </si>
  <si>
    <t xml:space="preserve">01-46-5144     </t>
  </si>
  <si>
    <t xml:space="preserve">TELECOM - PERSONAL TIME OFF     </t>
  </si>
  <si>
    <t xml:space="preserve">01-46-5141.3   </t>
  </si>
  <si>
    <t xml:space="preserve">TELECOM - VACATION              </t>
  </si>
  <si>
    <t xml:space="preserve">01-46-5141.2   </t>
  </si>
  <si>
    <t xml:space="preserve">TELECOM - SICK TIME OFF         </t>
  </si>
  <si>
    <t xml:space="preserve">01-46-5141.1   </t>
  </si>
  <si>
    <t xml:space="preserve">TELECOMMUNICATIONS OFFICERS     </t>
  </si>
  <si>
    <t xml:space="preserve">01-46-5141     </t>
  </si>
  <si>
    <t xml:space="preserve">PATROLMEN - P E D A             </t>
  </si>
  <si>
    <t xml:space="preserve">01-46-5140.5   </t>
  </si>
  <si>
    <t xml:space="preserve">PATROLMEN - PERSONAL TIME OFF   </t>
  </si>
  <si>
    <t xml:space="preserve">01-46-5140.3   </t>
  </si>
  <si>
    <t xml:space="preserve">PATROLMEN - VACATION            </t>
  </si>
  <si>
    <t xml:space="preserve">01-46-5140.2   </t>
  </si>
  <si>
    <t xml:space="preserve">PATROLMEN - SICK TIME OFF       </t>
  </si>
  <si>
    <t xml:space="preserve">01-46-5140.1   </t>
  </si>
  <si>
    <t xml:space="preserve">PATROLMEN                       </t>
  </si>
  <si>
    <t xml:space="preserve">01-46-5140     </t>
  </si>
  <si>
    <t xml:space="preserve">SUPPORT SERV - VACATION         </t>
  </si>
  <si>
    <t xml:space="preserve">01-46-5139.2   </t>
  </si>
  <si>
    <t xml:space="preserve">SUPERVISOR OF SUPPORT SERVICES  </t>
  </si>
  <si>
    <t xml:space="preserve">01-46-5139     </t>
  </si>
  <si>
    <t xml:space="preserve">SERGEANTS - PERSONAL TIME OFF   </t>
  </si>
  <si>
    <t xml:space="preserve">01-46-5138.3   </t>
  </si>
  <si>
    <t xml:space="preserve">SERGEANTS - VACATION            </t>
  </si>
  <si>
    <t xml:space="preserve">01-46-5138.2   </t>
  </si>
  <si>
    <t xml:space="preserve">SERGEANTS - SICK TIME OFF       </t>
  </si>
  <si>
    <t xml:space="preserve">01-46-5138.1   </t>
  </si>
  <si>
    <t xml:space="preserve">SERGEANTS                       </t>
  </si>
  <si>
    <t xml:space="preserve">01-46-5138     </t>
  </si>
  <si>
    <t xml:space="preserve">LIEUTENANTS - VACATION          </t>
  </si>
  <si>
    <t xml:space="preserve">01-46-5137.2   </t>
  </si>
  <si>
    <t xml:space="preserve">LIEUTENANTS                     </t>
  </si>
  <si>
    <t xml:space="preserve">01-46-5137     </t>
  </si>
  <si>
    <t>DEPUTY CHIEF - PERSONAL TIME OFF</t>
  </si>
  <si>
    <t xml:space="preserve">01-46-5135.3   </t>
  </si>
  <si>
    <t xml:space="preserve">DEPUTY CHIEF - VACATION         </t>
  </si>
  <si>
    <t xml:space="preserve">01-46-5135.2   </t>
  </si>
  <si>
    <t xml:space="preserve">DEPUTY CHIEF - SICK TIME OFF    </t>
  </si>
  <si>
    <t xml:space="preserve">01-46-5135.1   </t>
  </si>
  <si>
    <t xml:space="preserve">DEPUTY CHIEF                    </t>
  </si>
  <si>
    <t xml:space="preserve">01-46-5135     </t>
  </si>
  <si>
    <t xml:space="preserve">CHIEF - PERSONAL TIME OFF       </t>
  </si>
  <si>
    <t xml:space="preserve">01-46-5134.3   </t>
  </si>
  <si>
    <t xml:space="preserve">CHIEF - VACATION                </t>
  </si>
  <si>
    <t xml:space="preserve">01-46-5134.2   </t>
  </si>
  <si>
    <t xml:space="preserve">CHIEF - SICK TIME OFF           </t>
  </si>
  <si>
    <t xml:space="preserve">01-46-5134.1   </t>
  </si>
  <si>
    <t xml:space="preserve">CHIEF                           </t>
  </si>
  <si>
    <t xml:space="preserve">01-46-5134     </t>
  </si>
  <si>
    <t xml:space="preserve">POLICE DEPARTMENT               </t>
  </si>
  <si>
    <t>TOTAL FIRE DEPARTMENT</t>
  </si>
  <si>
    <t xml:space="preserve">01-42-5505     </t>
  </si>
  <si>
    <t xml:space="preserve">FIRE TRAINING EQUIPMENT         </t>
  </si>
  <si>
    <t xml:space="preserve">01-42-5445     </t>
  </si>
  <si>
    <t xml:space="preserve">01-42-5433     </t>
  </si>
  <si>
    <t xml:space="preserve">MECHANICS EQUIPMENT             </t>
  </si>
  <si>
    <t xml:space="preserve">01-42-5413     </t>
  </si>
  <si>
    <t xml:space="preserve">01-42-5411     </t>
  </si>
  <si>
    <t xml:space="preserve">01-42-5409     </t>
  </si>
  <si>
    <t xml:space="preserve">FURNITURE/FIXTURES              </t>
  </si>
  <si>
    <t xml:space="preserve">01-42-5407     </t>
  </si>
  <si>
    <t xml:space="preserve">BUILDING IMPROVEMENTS           </t>
  </si>
  <si>
    <t xml:space="preserve">01-42-5403     </t>
  </si>
  <si>
    <t xml:space="preserve">01-42-5350     </t>
  </si>
  <si>
    <t xml:space="preserve">TOOL &amp; SUPPLIES                 </t>
  </si>
  <si>
    <t xml:space="preserve">01-42-5326     </t>
  </si>
  <si>
    <t xml:space="preserve">01-42-5323     </t>
  </si>
  <si>
    <t xml:space="preserve">01-42-5320     </t>
  </si>
  <si>
    <t xml:space="preserve">SUPPLIES - PARAMEDICS           </t>
  </si>
  <si>
    <t xml:space="preserve">01-42-5318     </t>
  </si>
  <si>
    <t xml:space="preserve">01-42-5316     </t>
  </si>
  <si>
    <t xml:space="preserve">SUPPLIES - FIRE PREVENTION      </t>
  </si>
  <si>
    <t xml:space="preserve">01-42-5314     </t>
  </si>
  <si>
    <t xml:space="preserve">SUPPLIES - JANITORIAL           </t>
  </si>
  <si>
    <t xml:space="preserve">01-42-5312     </t>
  </si>
  <si>
    <t xml:space="preserve">01-42-5306     </t>
  </si>
  <si>
    <t xml:space="preserve">01-42-5302     </t>
  </si>
  <si>
    <t xml:space="preserve">GAS FOR HEATING                 </t>
  </si>
  <si>
    <t xml:space="preserve">01-42-5287     </t>
  </si>
  <si>
    <t xml:space="preserve">01-42-5276.4   </t>
  </si>
  <si>
    <t xml:space="preserve">01-42-5276     </t>
  </si>
  <si>
    <t xml:space="preserve">01-42-5275.4   </t>
  </si>
  <si>
    <t xml:space="preserve">01-42-5275.3   </t>
  </si>
  <si>
    <t xml:space="preserve">01-42-5275.2   </t>
  </si>
  <si>
    <t xml:space="preserve">01-42-5275     </t>
  </si>
  <si>
    <t xml:space="preserve">01-42-5272     </t>
  </si>
  <si>
    <t xml:space="preserve">01-42-5271     </t>
  </si>
  <si>
    <t xml:space="preserve">TRAINING SCHOOL                 </t>
  </si>
  <si>
    <t xml:space="preserve">01-42-5266     </t>
  </si>
  <si>
    <t xml:space="preserve">01-42-5255     </t>
  </si>
  <si>
    <t xml:space="preserve">01-42-5253     </t>
  </si>
  <si>
    <t xml:space="preserve">REPAIR/MAINT - PARAMEDIC EQUIP  </t>
  </si>
  <si>
    <t xml:space="preserve">01-42-5248     </t>
  </si>
  <si>
    <t xml:space="preserve">REPAIR/MAINT - FUEL TANKS PUMP  </t>
  </si>
  <si>
    <t xml:space="preserve">01-42-5247     </t>
  </si>
  <si>
    <t xml:space="preserve">REPAIR/MAINT - COMPUTERS        </t>
  </si>
  <si>
    <t xml:space="preserve">01-42-5245     </t>
  </si>
  <si>
    <t xml:space="preserve">REPAIR/MAINT - OFFICE EQUIP     </t>
  </si>
  <si>
    <t xml:space="preserve">01-42-5244     </t>
  </si>
  <si>
    <t xml:space="preserve">REPAIR/MAINT - FIRE EQUIP       </t>
  </si>
  <si>
    <t xml:space="preserve">01-42-5243     </t>
  </si>
  <si>
    <t xml:space="preserve">REPAIR/MAINT - RADIO EQUIP      </t>
  </si>
  <si>
    <t xml:space="preserve">01-42-5242     </t>
  </si>
  <si>
    <t xml:space="preserve">REPAIR/MAINT - GROUNDS          </t>
  </si>
  <si>
    <t xml:space="preserve">01-42-5241     </t>
  </si>
  <si>
    <t xml:space="preserve">REPAIR/MAINT - BUILDINGS        </t>
  </si>
  <si>
    <t xml:space="preserve">01-42-5240     </t>
  </si>
  <si>
    <t xml:space="preserve">R&amp;M BREATHING EQUIPMENT         </t>
  </si>
  <si>
    <t xml:space="preserve">01-42-5231     </t>
  </si>
  <si>
    <t>WELLNESS MEDICAL EXAM-VACCINATNS</t>
  </si>
  <si>
    <t xml:space="preserve">01-42-5224     </t>
  </si>
  <si>
    <t xml:space="preserve">ASSESSMENT DIVISION 20          </t>
  </si>
  <si>
    <t xml:space="preserve">01-42-5223     </t>
  </si>
  <si>
    <t xml:space="preserve">01-42-5219     </t>
  </si>
  <si>
    <t xml:space="preserve">01-42-5217     </t>
  </si>
  <si>
    <t xml:space="preserve">01-42-5205     </t>
  </si>
  <si>
    <t>LEGAL/PROFESSNL SRVCS-FIRE PENSN</t>
  </si>
  <si>
    <t xml:space="preserve">01-42-5202     </t>
  </si>
  <si>
    <t xml:space="preserve">01-42-5188     </t>
  </si>
  <si>
    <t xml:space="preserve">FIRE PENSION CONTRIBUTION       </t>
  </si>
  <si>
    <t xml:space="preserve">01-42-5180     </t>
  </si>
  <si>
    <t xml:space="preserve">EMS COORDINATOR                 </t>
  </si>
  <si>
    <t xml:space="preserve">01-42-5168     </t>
  </si>
  <si>
    <t xml:space="preserve">01-42-5164     </t>
  </si>
  <si>
    <t xml:space="preserve">INSPECTOR - VACATION            </t>
  </si>
  <si>
    <t xml:space="preserve">01-42-5162.2   </t>
  </si>
  <si>
    <t xml:space="preserve">INSPECTOR                       </t>
  </si>
  <si>
    <t xml:space="preserve">01-42-5162     </t>
  </si>
  <si>
    <t xml:space="preserve">DAY AMBULANCE LABOR             </t>
  </si>
  <si>
    <t xml:space="preserve">01-42-5160     </t>
  </si>
  <si>
    <t xml:space="preserve">TRAINING OFFICER                </t>
  </si>
  <si>
    <t xml:space="preserve">01-42-5158     </t>
  </si>
  <si>
    <t xml:space="preserve">PARAMEDICS                      </t>
  </si>
  <si>
    <t xml:space="preserve">01-42-5157     </t>
  </si>
  <si>
    <t xml:space="preserve">FIREFIGHTERS - VACATION         </t>
  </si>
  <si>
    <t xml:space="preserve">01-42-5156.2   </t>
  </si>
  <si>
    <t xml:space="preserve">FIREFIGHTERS - SICK TIME OFF    </t>
  </si>
  <si>
    <t xml:space="preserve">01-42-5156.1   </t>
  </si>
  <si>
    <t xml:space="preserve">FIREFIGHTERS                    </t>
  </si>
  <si>
    <t xml:space="preserve">01-42-5156     </t>
  </si>
  <si>
    <t xml:space="preserve">EDUCATION INCENTIVE             </t>
  </si>
  <si>
    <t xml:space="preserve">01-42-5150     </t>
  </si>
  <si>
    <t xml:space="preserve">01-42-5148     </t>
  </si>
  <si>
    <t xml:space="preserve">01-42-5146     </t>
  </si>
  <si>
    <t xml:space="preserve">01-42-5137.2   </t>
  </si>
  <si>
    <t xml:space="preserve">01-42-5137     </t>
  </si>
  <si>
    <t xml:space="preserve">CAPTAINS - VACATION             </t>
  </si>
  <si>
    <t xml:space="preserve">01-42-5136.2   </t>
  </si>
  <si>
    <t xml:space="preserve">CAPTAINS - SICK TIME OFF        </t>
  </si>
  <si>
    <t xml:space="preserve">01-42-5136.1   </t>
  </si>
  <si>
    <t xml:space="preserve">CAPTAINS                        </t>
  </si>
  <si>
    <t xml:space="preserve">01-42-5136     </t>
  </si>
  <si>
    <t xml:space="preserve">01-42-5135     </t>
  </si>
  <si>
    <t xml:space="preserve">01-42-5134     </t>
  </si>
  <si>
    <t xml:space="preserve">FIRE DEPARTMENT                 </t>
  </si>
  <si>
    <t>TOTAL BUILDINGS DEPARTMENT</t>
  </si>
  <si>
    <t xml:space="preserve">01-41-5413     </t>
  </si>
  <si>
    <t xml:space="preserve">01-41-5411     </t>
  </si>
  <si>
    <t xml:space="preserve">01-41-5407     </t>
  </si>
  <si>
    <t xml:space="preserve">MEDICAL EXAMS                   </t>
  </si>
  <si>
    <t xml:space="preserve">01-41-5323     </t>
  </si>
  <si>
    <t xml:space="preserve">SUPPLIES - ZONING               </t>
  </si>
  <si>
    <t xml:space="preserve">01-41-5316.1   </t>
  </si>
  <si>
    <t xml:space="preserve">01-41-5316     </t>
  </si>
  <si>
    <t xml:space="preserve">01-41-5306     </t>
  </si>
  <si>
    <t xml:space="preserve">01-41-5302     </t>
  </si>
  <si>
    <t xml:space="preserve">01-41-5275.4   </t>
  </si>
  <si>
    <t xml:space="preserve">01-41-5275.3   </t>
  </si>
  <si>
    <t xml:space="preserve">01-41-5275.2   </t>
  </si>
  <si>
    <t xml:space="preserve">01-41-5275     </t>
  </si>
  <si>
    <t xml:space="preserve">01-41-5272     </t>
  </si>
  <si>
    <t xml:space="preserve">01-41-5271     </t>
  </si>
  <si>
    <t xml:space="preserve">COMPUTER PROGRAMMING            </t>
  </si>
  <si>
    <t xml:space="preserve">01-41-5261     </t>
  </si>
  <si>
    <t xml:space="preserve">MAINT - AUTOMOTIVE              </t>
  </si>
  <si>
    <t xml:space="preserve">01-41-5256     </t>
  </si>
  <si>
    <t xml:space="preserve">01-41-5255     </t>
  </si>
  <si>
    <t xml:space="preserve">01-41-5253     </t>
  </si>
  <si>
    <t xml:space="preserve">NUSIANCE ABATEMENTS             </t>
  </si>
  <si>
    <t xml:space="preserve">01-41-5247     </t>
  </si>
  <si>
    <t xml:space="preserve">INFORMATIONAL SRVCS - PROPERTY  </t>
  </si>
  <si>
    <t xml:space="preserve">01-41-5246     </t>
  </si>
  <si>
    <t xml:space="preserve">MAINTENANCE - OFFICE EQUIP      </t>
  </si>
  <si>
    <t xml:space="preserve">01-41-5244     </t>
  </si>
  <si>
    <t xml:space="preserve">WORKER'S COMP INS               </t>
  </si>
  <si>
    <t xml:space="preserve">01-41-5219     </t>
  </si>
  <si>
    <t xml:space="preserve">AUTOMOBILE INSURANCE            </t>
  </si>
  <si>
    <t xml:space="preserve">01-41-5218     </t>
  </si>
  <si>
    <t xml:space="preserve">01-41-5217     </t>
  </si>
  <si>
    <t xml:space="preserve">01-41-5205     </t>
  </si>
  <si>
    <t xml:space="preserve">INSPECTION - PLUMBING           </t>
  </si>
  <si>
    <t xml:space="preserve">01-41-5202.2   </t>
  </si>
  <si>
    <t xml:space="preserve">INSPECTION - HEALTH/ELEVATORS   </t>
  </si>
  <si>
    <t xml:space="preserve">01-41-5202.1   </t>
  </si>
  <si>
    <t xml:space="preserve">01-41-5202     </t>
  </si>
  <si>
    <t>HEARING OFFICER ATTORNEY BLDINGS</t>
  </si>
  <si>
    <t xml:space="preserve">01-41-5201.1   </t>
  </si>
  <si>
    <t xml:space="preserve">01-41-5201     </t>
  </si>
  <si>
    <t xml:space="preserve">01-41-5188     </t>
  </si>
  <si>
    <t xml:space="preserve">EXTERIOR HOUSE INSPECTORS       </t>
  </si>
  <si>
    <t xml:space="preserve">01-41-5161     </t>
  </si>
  <si>
    <t xml:space="preserve">INSPECTOR - SIGN                </t>
  </si>
  <si>
    <t xml:space="preserve">01-41-5133     </t>
  </si>
  <si>
    <t xml:space="preserve">INSPECTOR - BUILDING            </t>
  </si>
  <si>
    <t>01-41-5130</t>
  </si>
  <si>
    <t xml:space="preserve">BUILDING COMMISSIONER           </t>
  </si>
  <si>
    <t xml:space="preserve">01-41-5126     </t>
  </si>
  <si>
    <t xml:space="preserve">BLDG CONTROLS/INSPECTION        </t>
  </si>
  <si>
    <t>TOTAL MUNICIPAL BLDGS &amp; GRNDS</t>
  </si>
  <si>
    <t>01-25-5312</t>
  </si>
  <si>
    <t xml:space="preserve">FUEL FOR HEATING                </t>
  </si>
  <si>
    <t>01-25-5304</t>
  </si>
  <si>
    <t xml:space="preserve">01-25-5275.4   </t>
  </si>
  <si>
    <t>01-25-5275</t>
  </si>
  <si>
    <t xml:space="preserve">R &amp; M - GROUNDS                 </t>
  </si>
  <si>
    <t>01-25-5241</t>
  </si>
  <si>
    <t>01-25-5240</t>
  </si>
  <si>
    <t>01-25-5219</t>
  </si>
  <si>
    <t>01-25-5217</t>
  </si>
  <si>
    <t xml:space="preserve">BUILDING - DECORATIONS          </t>
  </si>
  <si>
    <t>01-25-5207</t>
  </si>
  <si>
    <t xml:space="preserve">CUSTODIAL SERVICES              </t>
  </si>
  <si>
    <t>01-25-5189</t>
  </si>
  <si>
    <t xml:space="preserve">MUNICIPAL BLDGS &amp; GRNDS         </t>
  </si>
  <si>
    <t>TOTAL FINANCE</t>
  </si>
  <si>
    <t xml:space="preserve">BROADVIEW WEB PAGE              </t>
  </si>
  <si>
    <t>01-24-5414</t>
  </si>
  <si>
    <t>01-24-5411</t>
  </si>
  <si>
    <t xml:space="preserve">OFFICE SUPPLIES                 </t>
  </si>
  <si>
    <t>01-24-5316</t>
  </si>
  <si>
    <t>01-24-5276</t>
  </si>
  <si>
    <t>01-24-5275</t>
  </si>
  <si>
    <t xml:space="preserve">LIBRARY IL RT PYMTS             </t>
  </si>
  <si>
    <t>01-24-5274</t>
  </si>
  <si>
    <t>01-24-5272</t>
  </si>
  <si>
    <t>01-24-5271</t>
  </si>
  <si>
    <t xml:space="preserve">NEWSPAPER NOTICES               </t>
  </si>
  <si>
    <t>01-24-5270</t>
  </si>
  <si>
    <t xml:space="preserve">TRAVEL/EXPENSES                 </t>
  </si>
  <si>
    <t>01-24-5255</t>
  </si>
  <si>
    <t>01-24-5253</t>
  </si>
  <si>
    <t xml:space="preserve">REPAIR/MAINT. - OFFICE EQUIP.   </t>
  </si>
  <si>
    <t>01-24-5244</t>
  </si>
  <si>
    <t xml:space="preserve">WORKER'S COMPENSATION INS       </t>
  </si>
  <si>
    <t>01-24-5219</t>
  </si>
  <si>
    <t xml:space="preserve">GENERAL LIABILITY INSURANCE     </t>
  </si>
  <si>
    <t>01-24-5217</t>
  </si>
  <si>
    <t xml:space="preserve">IT CONSULTANTS                  </t>
  </si>
  <si>
    <t xml:space="preserve">INTERNET T-1 LINE               </t>
  </si>
  <si>
    <t>01-24-5212</t>
  </si>
  <si>
    <t xml:space="preserve">VEHICLE PROGRAM - 3rd MILLENIUM </t>
  </si>
  <si>
    <t>01-24-5211</t>
  </si>
  <si>
    <t xml:space="preserve">COMPUTER CONSULTANTS (LOCIS)    </t>
  </si>
  <si>
    <t>01-24-5210</t>
  </si>
  <si>
    <t xml:space="preserve">BANK CHARGES - SERVICE FEES     </t>
  </si>
  <si>
    <t>01-24-5208</t>
  </si>
  <si>
    <t>01-24-5205</t>
  </si>
  <si>
    <t xml:space="preserve">AUDIT SERVICES - FINANCE        </t>
  </si>
  <si>
    <t>01-24-5204</t>
  </si>
  <si>
    <t xml:space="preserve">LEGAL/PROFESSNL SRVCS-VILL OFFS </t>
  </si>
  <si>
    <t>01-24-5202</t>
  </si>
  <si>
    <t>01-24-5201</t>
  </si>
  <si>
    <t>01-24-5188</t>
  </si>
  <si>
    <t xml:space="preserve">FINANCE DIRECTOR                </t>
  </si>
  <si>
    <t>01-24-5112</t>
  </si>
  <si>
    <t xml:space="preserve">COLLECTOR                       </t>
  </si>
  <si>
    <t>01-24-5108</t>
  </si>
  <si>
    <t xml:space="preserve">OFFICE MANAGER                  </t>
  </si>
  <si>
    <t>01-24-5107</t>
  </si>
  <si>
    <t xml:space="preserve">TREASURER                       </t>
  </si>
  <si>
    <t>01-24-5106</t>
  </si>
  <si>
    <t xml:space="preserve">BUDGET OFFICER                  </t>
  </si>
  <si>
    <t>01-24-5105</t>
  </si>
  <si>
    <t>FINANCE</t>
  </si>
  <si>
    <t>TOTAL BOARD AND COMMISSIONS</t>
  </si>
  <si>
    <t xml:space="preserve">TEST AND ADMINISTRATION         </t>
  </si>
  <si>
    <t>01-23-5277</t>
  </si>
  <si>
    <t xml:space="preserve">DUES AND PUBLICATIONS           </t>
  </si>
  <si>
    <t>01-23-5271</t>
  </si>
  <si>
    <t>01-23-5270</t>
  </si>
  <si>
    <t>LEGAL SERVICES</t>
  </si>
  <si>
    <t>01-23-5202</t>
  </si>
  <si>
    <t xml:space="preserve">CIVIL SERVICE COMMISSION        </t>
  </si>
  <si>
    <t>01-23-5124</t>
  </si>
  <si>
    <t xml:space="preserve">ZONING &amp; PLANNING COMMISSION    </t>
  </si>
  <si>
    <t>01-23-5123</t>
  </si>
  <si>
    <t xml:space="preserve">POLICE &amp; FIRE COMMISSION        </t>
  </si>
  <si>
    <t>01-23-5122</t>
  </si>
  <si>
    <t xml:space="preserve">LIQUOR COMMISSIONER             </t>
  </si>
  <si>
    <t>01-23-5120</t>
  </si>
  <si>
    <t xml:space="preserve">BOARDS AND COMMISSIONS          </t>
  </si>
  <si>
    <t>TOTAL VILLAGE CLERK</t>
  </si>
  <si>
    <t>01-22-5316</t>
  </si>
  <si>
    <t xml:space="preserve">SUPPLEMENT TO MUNICIPAL CODE    </t>
  </si>
  <si>
    <t>01-22-5286</t>
  </si>
  <si>
    <t xml:space="preserve">RETIREE DENTAL INSE - 7/1/06    </t>
  </si>
  <si>
    <t>01-22-5271</t>
  </si>
  <si>
    <t>01-22-5270</t>
  </si>
  <si>
    <t xml:space="preserve">SEMINARS &amp; CONFERENCES          </t>
  </si>
  <si>
    <t>01-22-5253</t>
  </si>
  <si>
    <t xml:space="preserve">WELLNESS EXAMINATION            </t>
  </si>
  <si>
    <t>01-22-5224</t>
  </si>
  <si>
    <t xml:space="preserve">WORKER'S COMP. INSURANCE        </t>
  </si>
  <si>
    <t>01-22-5219</t>
  </si>
  <si>
    <t>01-22-5217</t>
  </si>
  <si>
    <t>01-22-5205</t>
  </si>
  <si>
    <t>01-22-5202</t>
  </si>
  <si>
    <t xml:space="preserve">VILLAGE CLERK                   </t>
  </si>
  <si>
    <t>01-22-5116</t>
  </si>
  <si>
    <t xml:space="preserve">DEPUTY CLERK                    </t>
  </si>
  <si>
    <t>01-22-5109</t>
  </si>
  <si>
    <t xml:space="preserve">TOTAL EXECUTIVE </t>
  </si>
  <si>
    <t>01-21-5505</t>
  </si>
  <si>
    <t>01-21-5413</t>
  </si>
  <si>
    <t>01-21-5411</t>
  </si>
  <si>
    <t xml:space="preserve">AUTO                            </t>
  </si>
  <si>
    <t>01-21-5407</t>
  </si>
  <si>
    <t xml:space="preserve">OFFICE EXPENSE                  </t>
  </si>
  <si>
    <t>01-21-5316</t>
  </si>
  <si>
    <t xml:space="preserve">FLOWERS - BEREAVEMENT           </t>
  </si>
  <si>
    <t>01-21-5310</t>
  </si>
  <si>
    <t>01-21-5302</t>
  </si>
  <si>
    <t xml:space="preserve">01-21-5276.4   </t>
  </si>
  <si>
    <t>01-21-5276</t>
  </si>
  <si>
    <t xml:space="preserve">01-21-5275.4   </t>
  </si>
  <si>
    <t xml:space="preserve">01-21-5275.3   </t>
  </si>
  <si>
    <t xml:space="preserve">01-21-5275.2   </t>
  </si>
  <si>
    <t>01-21-5275</t>
  </si>
  <si>
    <t>01-21-5271</t>
  </si>
  <si>
    <t>01-21-5270</t>
  </si>
  <si>
    <t xml:space="preserve">COMMUNITY FOOD PANTRY           </t>
  </si>
  <si>
    <t>01-21-5258</t>
  </si>
  <si>
    <t xml:space="preserve">LOCAL CIVIC EVENTS              </t>
  </si>
  <si>
    <t>01-21-5257</t>
  </si>
  <si>
    <t>01-21-5255</t>
  </si>
  <si>
    <t>SEMINARS/CONFERENCES - TRUSTEE'S</t>
  </si>
  <si>
    <t xml:space="preserve">SEMINARS/CONFERENCES - MAYOR    </t>
  </si>
  <si>
    <t>01-21-5253</t>
  </si>
  <si>
    <t xml:space="preserve">WORKER'S COMPENSATION INSURANCE </t>
  </si>
  <si>
    <t>01-21-5219</t>
  </si>
  <si>
    <t>01-21-5217</t>
  </si>
  <si>
    <t>NEWSLETTER - PRINTING &amp; SUPPLIES</t>
  </si>
  <si>
    <t>01-21-5211</t>
  </si>
  <si>
    <t>01-21-5205</t>
  </si>
  <si>
    <t xml:space="preserve">LEGAL &amp; PROFESSIONAL SERVICES   </t>
  </si>
  <si>
    <t>01-21-5202</t>
  </si>
  <si>
    <t>01-21-5201</t>
  </si>
  <si>
    <t>01-21-5120</t>
  </si>
  <si>
    <t xml:space="preserve">TRUSTEES                        </t>
  </si>
  <si>
    <t>01-21-5104</t>
  </si>
  <si>
    <t xml:space="preserve">ADMINISTRATIVE ASSISTANT        </t>
  </si>
  <si>
    <t>01-21-5103</t>
  </si>
  <si>
    <t xml:space="preserve">PRESIDENT/MAYOR                 </t>
  </si>
  <si>
    <t>01-21-5102</t>
  </si>
  <si>
    <t xml:space="preserve">EXECUTIVE DEPARTMENT            </t>
  </si>
  <si>
    <t>TOTAL REVENUES</t>
  </si>
  <si>
    <t xml:space="preserve">DEBT ISSUANCE - BONDS           </t>
  </si>
  <si>
    <t xml:space="preserve">01-00-4088     </t>
  </si>
  <si>
    <t>REVENUES - OTHER FINANCING SOURCES</t>
  </si>
  <si>
    <t xml:space="preserve">TOTAL OTHER </t>
  </si>
  <si>
    <t xml:space="preserve">01-00-4098     </t>
  </si>
  <si>
    <t xml:space="preserve">FIRE DEPT MISC REVENUES         </t>
  </si>
  <si>
    <t xml:space="preserve">01-00-4096     </t>
  </si>
  <si>
    <t xml:space="preserve">RENTAL INCOME                   </t>
  </si>
  <si>
    <t xml:space="preserve">01-00-4092     </t>
  </si>
  <si>
    <t xml:space="preserve">ALARM SYS REBATES               </t>
  </si>
  <si>
    <t xml:space="preserve">01-00-4091     </t>
  </si>
  <si>
    <t xml:space="preserve">OPERATING TRANSFERS IN          </t>
  </si>
  <si>
    <t xml:space="preserve">01-00-4086     </t>
  </si>
  <si>
    <t xml:space="preserve">POLICE OVERTIME REIMBURSEMENT   </t>
  </si>
  <si>
    <t xml:space="preserve">01-00-4085.1   </t>
  </si>
  <si>
    <t xml:space="preserve">GRANT FUNDS REC'D - ILLINOIS    </t>
  </si>
  <si>
    <t xml:space="preserve">01-00-4083     </t>
  </si>
  <si>
    <t>REIMBURSEMENT OF VILLAGE EXPENSE</t>
  </si>
  <si>
    <t xml:space="preserve">01-00-4080     </t>
  </si>
  <si>
    <t>REVENUES - OTHER</t>
  </si>
  <si>
    <t xml:space="preserve">INTEREST INCOME                 </t>
  </si>
  <si>
    <t xml:space="preserve">01-00-4070     </t>
  </si>
  <si>
    <t>REVENUES - INVESTMENT INCOME</t>
  </si>
  <si>
    <t>TOTAL FINES &amp; FORFEITURES</t>
  </si>
  <si>
    <t xml:space="preserve">IMMOBILIZATION                  </t>
  </si>
  <si>
    <t>01-00-4053</t>
  </si>
  <si>
    <t xml:space="preserve">BLDING DEPT CODE VIOLATIONS     </t>
  </si>
  <si>
    <t xml:space="preserve">01-00-4051.1   </t>
  </si>
  <si>
    <t xml:space="preserve">PD ADJUDICATION                 </t>
  </si>
  <si>
    <t xml:space="preserve">01-00-4050.1   </t>
  </si>
  <si>
    <t xml:space="preserve">TRAFFIC FINES                   </t>
  </si>
  <si>
    <t xml:space="preserve">01-00-4050     </t>
  </si>
  <si>
    <t>REVENUES - FINES &amp; FORFEITURES</t>
  </si>
  <si>
    <t>TOTAL CHARGES FOR SERVICES</t>
  </si>
  <si>
    <t xml:space="preserve">AMBULANCE CHARGES               </t>
  </si>
  <si>
    <t xml:space="preserve">01-00-4068     </t>
  </si>
  <si>
    <t xml:space="preserve">HINES-FIRE SUPPRESSION          </t>
  </si>
  <si>
    <t xml:space="preserve">01-00-4062.2   </t>
  </si>
  <si>
    <t xml:space="preserve">LOYOLA-FIRE SUPPRESSION         </t>
  </si>
  <si>
    <t xml:space="preserve">01-00-4062.1   </t>
  </si>
  <si>
    <t xml:space="preserve">HINES-HOSP MEDICAL              </t>
  </si>
  <si>
    <t xml:space="preserve">01-00-4061.2   </t>
  </si>
  <si>
    <t xml:space="preserve">LOYOLA-HOSP MEDICAL             </t>
  </si>
  <si>
    <t xml:space="preserve">01-00-4061.1   </t>
  </si>
  <si>
    <t xml:space="preserve">HOSPITAL MEDICAL BILLINGS       </t>
  </si>
  <si>
    <t xml:space="preserve">01-00-4061     </t>
  </si>
  <si>
    <t xml:space="preserve">PW DEPT MISC REVENUES           </t>
  </si>
  <si>
    <t xml:space="preserve">01-00-4055     </t>
  </si>
  <si>
    <t xml:space="preserve">TOWING AND STORAGE              </t>
  </si>
  <si>
    <t xml:space="preserve">01-00-4093     </t>
  </si>
  <si>
    <t xml:space="preserve">POLICE MISC. REVENUE            </t>
  </si>
  <si>
    <t xml:space="preserve">01-00-4085     </t>
  </si>
  <si>
    <t xml:space="preserve">ELEVATOR INSPECTIONS            </t>
  </si>
  <si>
    <t xml:space="preserve">01-00-4046     </t>
  </si>
  <si>
    <t xml:space="preserve">HEALTH INSPECTIONS              </t>
  </si>
  <si>
    <t xml:space="preserve">01-00-4049     </t>
  </si>
  <si>
    <t>REVENUES - CHARGES FOR SERVICES</t>
  </si>
  <si>
    <t>TOTAL LICENSES, PERMIT &amp; FEES</t>
  </si>
  <si>
    <t xml:space="preserve">JURY DUTY/SUBPOENA              </t>
  </si>
  <si>
    <t xml:space="preserve">01-00-4059     </t>
  </si>
  <si>
    <t xml:space="preserve">GARAGE SALES PERMIT FEE         </t>
  </si>
  <si>
    <t xml:space="preserve">01-00-4057     </t>
  </si>
  <si>
    <t xml:space="preserve">ALARM SYSTEM FEES - ADT         </t>
  </si>
  <si>
    <t xml:space="preserve">01-00-4007.1   </t>
  </si>
  <si>
    <t xml:space="preserve">ZONING FEES                     </t>
  </si>
  <si>
    <t xml:space="preserve">01-00-4047     </t>
  </si>
  <si>
    <t xml:space="preserve">BLDG - TRANSFER FEES            </t>
  </si>
  <si>
    <t xml:space="preserve">01-00-4045.1   </t>
  </si>
  <si>
    <t xml:space="preserve">OCCUPANCY INSPECTIONS           </t>
  </si>
  <si>
    <t xml:space="preserve">01-00-4045     </t>
  </si>
  <si>
    <t xml:space="preserve">SITE PLAN APPLICATION FEE       </t>
  </si>
  <si>
    <t xml:space="preserve">01-00-4044     </t>
  </si>
  <si>
    <t xml:space="preserve">PLUMBING PERMITS                </t>
  </si>
  <si>
    <t xml:space="preserve">01-00-4042     </t>
  </si>
  <si>
    <t xml:space="preserve">ELECTRICAL PERMITS              </t>
  </si>
  <si>
    <t xml:space="preserve">01-00-4041     </t>
  </si>
  <si>
    <t xml:space="preserve">BUILDING PERMITS                </t>
  </si>
  <si>
    <t xml:space="preserve">01-00-4040     </t>
  </si>
  <si>
    <t xml:space="preserve">CONTRACTORS REGISTRATION        </t>
  </si>
  <si>
    <t xml:space="preserve">01-00-4039     </t>
  </si>
  <si>
    <t xml:space="preserve">DOGS AND CATS TAGS              </t>
  </si>
  <si>
    <t xml:space="preserve">01-00-4033     </t>
  </si>
  <si>
    <t xml:space="preserve">VEHICLE LICENSES                </t>
  </si>
  <si>
    <t xml:space="preserve">01-00-4032     </t>
  </si>
  <si>
    <t xml:space="preserve">BUSINESS LICENSES               </t>
  </si>
  <si>
    <t xml:space="preserve">01-00-4031     </t>
  </si>
  <si>
    <t xml:space="preserve">LIQUOR LICENSES                 </t>
  </si>
  <si>
    <t xml:space="preserve">01-00-4030     </t>
  </si>
  <si>
    <t xml:space="preserve">REVENUES - LICENSES, PERMITS &amp; FEES   </t>
  </si>
  <si>
    <t xml:space="preserve">GRANT FUNDS REC'D - FEDERAL     </t>
  </si>
  <si>
    <t xml:space="preserve">01-00-4083.1   </t>
  </si>
  <si>
    <t xml:space="preserve">OTHER INTERGOVERNMENTAL         </t>
  </si>
  <si>
    <t xml:space="preserve">01-00-4028     </t>
  </si>
  <si>
    <t xml:space="preserve">REPLACEMENT TAX                 </t>
  </si>
  <si>
    <t>01-00-4022</t>
  </si>
  <si>
    <t xml:space="preserve">STATE INCOME TAX                </t>
  </si>
  <si>
    <t>01-00-4021</t>
  </si>
  <si>
    <t xml:space="preserve">REVENUES - INTERGOVERNMENTAL             </t>
  </si>
  <si>
    <t xml:space="preserve">USE TAX                         </t>
  </si>
  <si>
    <t xml:space="preserve">01-00-4013     </t>
  </si>
  <si>
    <t xml:space="preserve">AUTO RENTAL TAX                 </t>
  </si>
  <si>
    <t xml:space="preserve">01-00-4012     </t>
  </si>
  <si>
    <t xml:space="preserve">VIDEO GAMING TAX                </t>
  </si>
  <si>
    <t xml:space="preserve">01-00-4011     </t>
  </si>
  <si>
    <t xml:space="preserve">CABLE SERVICES                  </t>
  </si>
  <si>
    <t xml:space="preserve">01-00-4010     </t>
  </si>
  <si>
    <t xml:space="preserve">AT&amp;T COMMUNICATIONS             </t>
  </si>
  <si>
    <t xml:space="preserve">01-00-4009     </t>
  </si>
  <si>
    <t xml:space="preserve">UTILITY TAX - TELEPHONE         </t>
  </si>
  <si>
    <t xml:space="preserve">01-00-4007     </t>
  </si>
  <si>
    <t xml:space="preserve">UTILITY TAX - GAS               </t>
  </si>
  <si>
    <t xml:space="preserve">01-00-4006     </t>
  </si>
  <si>
    <t xml:space="preserve">UTILITY TAX - ELECTRIC          </t>
  </si>
  <si>
    <t xml:space="preserve">01-00-4005     </t>
  </si>
  <si>
    <t xml:space="preserve">SALES TAXES                     </t>
  </si>
  <si>
    <t xml:space="preserve">01-00-4002     </t>
  </si>
  <si>
    <t xml:space="preserve">REVENUES - OTHER TAXES             </t>
  </si>
  <si>
    <t xml:space="preserve">PROPERTY TAXES - POLICE PRTCTN  </t>
  </si>
  <si>
    <t xml:space="preserve">01-00-4001.9   </t>
  </si>
  <si>
    <t xml:space="preserve">PROPERTY TAXES - AUDITING       </t>
  </si>
  <si>
    <t xml:space="preserve">01-00-4001.8   </t>
  </si>
  <si>
    <t xml:space="preserve">PROPERTY TAXES - POLICE PENSION </t>
  </si>
  <si>
    <t xml:space="preserve">01-00-4001.62  </t>
  </si>
  <si>
    <t xml:space="preserve">PROPERTY TAXES - FIRE PENSION   </t>
  </si>
  <si>
    <t xml:space="preserve">01-00-4001.61  </t>
  </si>
  <si>
    <t xml:space="preserve">PROPERTY TAXES - LIABILITY INS  </t>
  </si>
  <si>
    <t xml:space="preserve">01-00-4001.5   </t>
  </si>
  <si>
    <t>PROPERTY TAXES - STREET &amp; BRIDGE</t>
  </si>
  <si>
    <t xml:space="preserve">01-00-4001.4   </t>
  </si>
  <si>
    <t>PROPERTY TAXES - FIRE PROTECTION</t>
  </si>
  <si>
    <t xml:space="preserve">01-00-4001.2   </t>
  </si>
  <si>
    <t xml:space="preserve">PROPERTY TAXES - GENERAL FUND   </t>
  </si>
  <si>
    <t xml:space="preserve">REVENUES - PROPERTY TAXES                       </t>
  </si>
  <si>
    <t xml:space="preserve">01-42-5408     </t>
  </si>
  <si>
    <t>21 - Executive - Non-Personnel</t>
  </si>
  <si>
    <t>22 - Village Clerk - Non-Personnel</t>
  </si>
  <si>
    <t>21 - Executive - Personnel</t>
  </si>
  <si>
    <t>22 - Village Clerk - Personnel</t>
  </si>
  <si>
    <t>24 - Finance Department - Personnel</t>
  </si>
  <si>
    <t>24 - Finance Department - Non-Personnel</t>
  </si>
  <si>
    <t>25 - Municipal Bldgs &amp; Grnds - Personnel</t>
  </si>
  <si>
    <t>25 - Municipal Bldgs &amp; Grnds - Non-Personnel</t>
  </si>
  <si>
    <t>41 - Building Department - Personnel</t>
  </si>
  <si>
    <t>41 - Building Department - Non-Personnel</t>
  </si>
  <si>
    <t>42 - Fire Department - Personnel</t>
  </si>
  <si>
    <t>42 - Fire Department - Non-Personnel</t>
  </si>
  <si>
    <t>46 - Police Department - Personnel</t>
  </si>
  <si>
    <t>46 - Police Department - Non-Personnel</t>
  </si>
  <si>
    <t>73 - Public Works - Personnel</t>
  </si>
  <si>
    <t>73 - Public Works - Non-Personnel</t>
  </si>
  <si>
    <t xml:space="preserve">01-00-4086.1   </t>
  </si>
  <si>
    <t xml:space="preserve">OPERATING TRANSFERS OUT         </t>
  </si>
  <si>
    <t>Detail Statement of Revenues and Expenditures - 2019 Fiscal Year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</si>
  <si>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</si>
  <si>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</si>
  <si>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</si>
  <si>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</si>
  <si>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</si>
  <si>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</si>
  <si>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</si>
  <si>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</si>
  <si>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</si>
  <si>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</si>
  <si>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</si>
  <si>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</si>
  <si>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FY 2019 BUDGET</t>
  </si>
  <si>
    <t>FYE 2019 Budget</t>
  </si>
  <si>
    <t>FYE 2018 UNAUDITED BALANCE</t>
  </si>
  <si>
    <t>Ending Fund Balance @ 4/30/18</t>
  </si>
  <si>
    <t xml:space="preserve">01-00-4016     </t>
  </si>
  <si>
    <t xml:space="preserve">STATE FORFEITURE REVENUE        </t>
  </si>
  <si>
    <t xml:space="preserve">01-00-4094     </t>
  </si>
  <si>
    <t xml:space="preserve">SALE OF VILLAGE PROPERTY        </t>
  </si>
  <si>
    <t xml:space="preserve">01-41-5505     </t>
  </si>
  <si>
    <t xml:space="preserve">01-41-5270     </t>
  </si>
  <si>
    <t xml:space="preserve">01-42-5145     </t>
  </si>
  <si>
    <t xml:space="preserve">GRANT WRITER                    </t>
  </si>
  <si>
    <t xml:space="preserve">01-46-5145     </t>
  </si>
  <si>
    <t xml:space="preserve">01-46-5417     </t>
  </si>
  <si>
    <t xml:space="preserve">01-46-5428     </t>
  </si>
  <si>
    <t xml:space="preserve">MOBILE TERMINAL EQUIPMENT       </t>
  </si>
  <si>
    <t xml:space="preserve">01-46-5504     </t>
  </si>
  <si>
    <t xml:space="preserve">DUI FUND EXPENDITURES           </t>
  </si>
  <si>
    <t xml:space="preserve">01-73-5164.2   </t>
  </si>
  <si>
    <t xml:space="preserve">MECHANIC - VACATION             </t>
  </si>
  <si>
    <t xml:space="preserve">01-73-5505     </t>
  </si>
  <si>
    <t xml:space="preserve">01-73-5170.1   </t>
  </si>
  <si>
    <t xml:space="preserve">WAGES PW - SICK TIME OFF        </t>
  </si>
  <si>
    <t xml:space="preserve">01-73-5170.2   </t>
  </si>
  <si>
    <t xml:space="preserve">WAGES PW - VACATION             </t>
  </si>
  <si>
    <t xml:space="preserve">01-73-5170.3   </t>
  </si>
  <si>
    <t xml:space="preserve">WAGES PW - PERSONAL TIME OFF    </t>
  </si>
  <si>
    <t xml:space="preserve">01-73-5244     </t>
  </si>
  <si>
    <t xml:space="preserve">01-73-5282     </t>
  </si>
  <si>
    <t xml:space="preserve">TREE TESTING EQUIPMENT          </t>
  </si>
  <si>
    <t>01-23-5253</t>
  </si>
  <si>
    <t>01-24-5505</t>
  </si>
  <si>
    <t>Beginning Fund Balance @ 5/1/18</t>
  </si>
  <si>
    <t xml:space="preserve">01-73-5188.1   </t>
  </si>
  <si>
    <t xml:space="preserve">ADMIN CLERK - SICK TIME OFF     </t>
  </si>
  <si>
    <t>01-24-5224</t>
  </si>
  <si>
    <t xml:space="preserve">01-21-5253.1   </t>
  </si>
  <si>
    <t xml:space="preserve">01-24-5212.1   </t>
  </si>
  <si>
    <t xml:space="preserve">01-24-5275.2   </t>
  </si>
  <si>
    <t xml:space="preserve">01-24-5275.3   </t>
  </si>
  <si>
    <t xml:space="preserve">01-24-5275.4   </t>
  </si>
  <si>
    <t xml:space="preserve">01-25-5275.2   </t>
  </si>
  <si>
    <t xml:space="preserve">01-25-5275.3   </t>
  </si>
  <si>
    <t>FYE 2019 Budget YTD</t>
  </si>
  <si>
    <t>% YTD Collected/ Spent to YTD Budget</t>
  </si>
  <si>
    <t xml:space="preserve">01-22-5276.4   </t>
  </si>
  <si>
    <t xml:space="preserve">01-42-5432     </t>
  </si>
  <si>
    <t>PERSONAL SERVICES</t>
  </si>
  <si>
    <t>CONTRACTUAL SERVICES</t>
  </si>
  <si>
    <t>COMMODITIES</t>
  </si>
  <si>
    <t>CAPITAL OUTLAY</t>
  </si>
  <si>
    <t>OTHER</t>
  </si>
  <si>
    <t>EXECUTIVE</t>
  </si>
  <si>
    <t>VILLAGE CLERK</t>
  </si>
  <si>
    <t>BOARDS AND COMMISSIONS</t>
  </si>
  <si>
    <t>MUNICIPAL BUILDINGS &amp; GROUNDS</t>
  </si>
  <si>
    <t>BUILDINGS CONTROL/INSPECTIONS</t>
  </si>
  <si>
    <t>FIRE</t>
  </si>
  <si>
    <t>POLICE</t>
  </si>
  <si>
    <t>PUBLIC WORKS</t>
  </si>
  <si>
    <t xml:space="preserve">01-00-4062.3   </t>
  </si>
  <si>
    <t xml:space="preserve">MADDEN-FIRE SUPPRESSION         </t>
  </si>
  <si>
    <t xml:space="preserve">01-42-5290     </t>
  </si>
  <si>
    <t>TOTAL TRANSPORTATION</t>
  </si>
  <si>
    <t>For Period Ended October 31, 2018</t>
  </si>
  <si>
    <t>01-00-4001</t>
  </si>
  <si>
    <t>01-22-5255</t>
  </si>
  <si>
    <t xml:space="preserve">01-42-5134.2   </t>
  </si>
  <si>
    <t xml:space="preserve">01-46-5139.3   </t>
  </si>
  <si>
    <t>SUPPORT SERV - PERSONAL TIME OFF</t>
  </si>
  <si>
    <t xml:space="preserve">01-46-5153     </t>
  </si>
  <si>
    <t xml:space="preserve">BEREAVEMENT                     </t>
  </si>
  <si>
    <t xml:space="preserve">01-46-5187.2   </t>
  </si>
  <si>
    <t xml:space="preserve">SECRETARY - VACATION            </t>
  </si>
  <si>
    <t>APR-18</t>
  </si>
  <si>
    <t>FYE 2018 BUDGET</t>
  </si>
  <si>
    <t>BUDGET</t>
  </si>
  <si>
    <t>For Period Ended April 30, 2018</t>
  </si>
  <si>
    <t>01-23-5211</t>
  </si>
  <si>
    <t xml:space="preserve">PRINTING &amp; BINDING              </t>
  </si>
  <si>
    <t xml:space="preserve">01-24-5204.1   </t>
  </si>
  <si>
    <t xml:space="preserve">SPECIAL AUDIT ENGAGEMENT        </t>
  </si>
  <si>
    <t>Beginning Fund Balance @ 5/1/17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</si>
</sst>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"/>
    <numFmt numFmtId="165" formatCode="[$-409]mmmm\-yy;@"/>
    <numFmt numFmtId="166" formatCode="_(* #,##0_);_(* \(#,##0\);_(* &quot;-&quot;??_);_(@_)"/>
    <numFmt numFmtId="167" formatCode="[$-F800]dddd\,\ mmmm\ dd\,\ yyyy"/>
    <numFmt numFmtId="168" formatCode="0.0%"/>
    <numFmt numFmtId="169" formatCode="&quot;$&quot;#,##0"/>
  </numFmts>
  <fonts count="5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name val="Monotype Corsiva"/>
      <family val="4"/>
    </font>
    <font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3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37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37" fontId="6" fillId="0" borderId="1" xfId="0" applyNumberFormat="1" applyFont="1" applyBorder="1"/>
    <xf numFmtId="37" fontId="7" fillId="0" borderId="0" xfId="0" applyNumberFormat="1" applyFont="1" applyBorder="1"/>
    <xf numFmtId="0" fontId="8" fillId="0" borderId="0" xfId="0" applyFont="1"/>
    <xf numFmtId="164" fontId="9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37" fontId="6" fillId="0" borderId="0" xfId="0" applyNumberFormat="1" applyFont="1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7" fillId="0" borderId="0" xfId="0" applyFont="1"/>
    <xf numFmtId="0" fontId="10" fillId="0" borderId="0" xfId="0" applyFont="1" applyBorder="1"/>
    <xf numFmtId="0" fontId="3" fillId="0" borderId="0" xfId="0" applyFont="1" applyBorder="1" applyAlignment="1">
      <alignment horizontal="left" wrapText="1"/>
    </xf>
    <xf numFmtId="37" fontId="6" fillId="0" borderId="0" xfId="0" applyNumberFormat="1" applyFont="1"/>
    <xf numFmtId="0" fontId="6" fillId="0" borderId="0" xfId="0" applyFont="1"/>
    <xf numFmtId="165" fontId="6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1" fillId="0" borderId="0" xfId="0" applyFont="1"/>
    <xf numFmtId="37" fontId="13" fillId="2" borderId="0" xfId="0" applyNumberFormat="1" applyFont="1" applyFill="1" applyBorder="1"/>
    <xf numFmtId="166" fontId="13" fillId="2" borderId="0" xfId="1" applyNumberFormat="1" applyFont="1" applyFill="1"/>
    <xf numFmtId="0" fontId="14" fillId="0" borderId="0" xfId="0" applyFont="1"/>
    <xf numFmtId="37" fontId="13" fillId="0" borderId="1" xfId="0" applyNumberFormat="1" applyFont="1" applyFill="1" applyBorder="1"/>
    <xf numFmtId="0" fontId="16" fillId="0" borderId="0" xfId="0" applyFont="1"/>
    <xf numFmtId="0" fontId="7" fillId="0" borderId="0" xfId="0" applyFont="1" applyBorder="1"/>
    <xf numFmtId="0" fontId="1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7" fontId="13" fillId="0" borderId="0" xfId="0" applyNumberFormat="1" applyFont="1" applyFill="1" applyBorder="1"/>
    <xf numFmtId="9" fontId="8" fillId="0" borderId="0" xfId="2" applyFont="1" applyFill="1" applyBorder="1"/>
    <xf numFmtId="9" fontId="15" fillId="0" borderId="1" xfId="2" applyFont="1" applyFill="1" applyBorder="1"/>
    <xf numFmtId="166" fontId="6" fillId="0" borderId="0" xfId="1" applyNumberFormat="1" applyFont="1" applyBorder="1"/>
    <xf numFmtId="9" fontId="15" fillId="0" borderId="1" xfId="2" applyFont="1" applyBorder="1"/>
    <xf numFmtId="0" fontId="12" fillId="0" borderId="0" xfId="0" applyFont="1" applyFill="1"/>
    <xf numFmtId="37" fontId="13" fillId="0" borderId="0" xfId="0" applyNumberFormat="1" applyFont="1" applyFill="1"/>
    <xf numFmtId="0" fontId="11" fillId="0" borderId="0" xfId="0" applyFont="1" applyFill="1"/>
    <xf numFmtId="0" fontId="18" fillId="0" borderId="0" xfId="0" applyFont="1" applyBorder="1"/>
    <xf numFmtId="0" fontId="18" fillId="0" borderId="0" xfId="0" applyFont="1"/>
    <xf numFmtId="0" fontId="14" fillId="0" borderId="0" xfId="0" applyFont="1" applyBorder="1"/>
    <xf numFmtId="0" fontId="14" fillId="0" borderId="0" xfId="0" applyFont="1" applyFill="1"/>
    <xf numFmtId="0" fontId="14" fillId="0" borderId="3" xfId="0" applyFont="1" applyBorder="1"/>
    <xf numFmtId="0" fontId="14" fillId="0" borderId="3" xfId="0" applyFont="1" applyFill="1" applyBorder="1"/>
    <xf numFmtId="0" fontId="17" fillId="0" borderId="3" xfId="0" applyFont="1" applyBorder="1"/>
    <xf numFmtId="9" fontId="8" fillId="0" borderId="0" xfId="2" applyFont="1" applyBorder="1"/>
    <xf numFmtId="0" fontId="23" fillId="0" borderId="0" xfId="0" applyFont="1"/>
    <xf numFmtId="0" fontId="17" fillId="0" borderId="0" xfId="0" applyFont="1"/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Border="1"/>
    <xf numFmtId="0" fontId="18" fillId="0" borderId="0" xfId="0" applyFont="1" applyFill="1"/>
    <xf numFmtId="0" fontId="24" fillId="0" borderId="0" xfId="0" applyFont="1" applyAlignment="1">
      <alignment horizontal="left" wrapText="1"/>
    </xf>
    <xf numFmtId="37" fontId="11" fillId="0" borderId="0" xfId="0" applyNumberFormat="1" applyFont="1" applyBorder="1"/>
    <xf numFmtId="37" fontId="16" fillId="0" borderId="0" xfId="0" applyNumberFormat="1" applyFont="1"/>
    <xf numFmtId="0" fontId="25" fillId="0" borderId="0" xfId="0" applyFont="1"/>
    <xf numFmtId="165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6" fontId="10" fillId="0" borderId="0" xfId="1" applyNumberFormat="1" applyFont="1" applyBorder="1"/>
    <xf numFmtId="166" fontId="0" fillId="0" borderId="0" xfId="1" applyNumberFormat="1" applyFont="1" applyBorder="1"/>
    <xf numFmtId="0" fontId="0" fillId="0" borderId="0" xfId="0" applyFill="1" applyBorder="1"/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166" fontId="7" fillId="0" borderId="0" xfId="1" applyNumberFormat="1" applyFont="1" applyBorder="1"/>
    <xf numFmtId="0" fontId="20" fillId="3" borderId="0" xfId="0" applyFont="1" applyFill="1" applyBorder="1" applyAlignment="1">
      <alignment horizontal="left" wrapText="1"/>
    </xf>
    <xf numFmtId="0" fontId="16" fillId="0" borderId="3" xfId="0" applyFont="1" applyBorder="1"/>
    <xf numFmtId="166" fontId="14" fillId="0" borderId="0" xfId="1" applyNumberFormat="1" applyFont="1" applyBorder="1"/>
    <xf numFmtId="9" fontId="8" fillId="3" borderId="0" xfId="2" applyFont="1" applyFill="1" applyBorder="1"/>
    <xf numFmtId="9" fontId="8" fillId="3" borderId="1" xfId="2" applyFont="1" applyFill="1" applyBorder="1"/>
    <xf numFmtId="9" fontId="15" fillId="3" borderId="1" xfId="2" applyFont="1" applyFill="1" applyBorder="1"/>
    <xf numFmtId="166" fontId="21" fillId="0" borderId="0" xfId="1" applyNumberFormat="1" applyFont="1" applyFill="1" applyBorder="1" applyAlignment="1">
      <alignment horizontal="left" vertical="top" wrapText="1"/>
    </xf>
    <xf numFmtId="0" fontId="13" fillId="0" borderId="0" xfId="0" applyFont="1"/>
    <xf numFmtId="166" fontId="13" fillId="0" borderId="0" xfId="1" applyNumberFormat="1" applyFont="1"/>
    <xf numFmtId="166" fontId="13" fillId="0" borderId="2" xfId="1" applyNumberFormat="1" applyFont="1" applyFill="1" applyBorder="1"/>
    <xf numFmtId="166" fontId="18" fillId="0" borderId="0" xfId="1" applyNumberFormat="1" applyFont="1" applyBorder="1"/>
    <xf numFmtId="166" fontId="18" fillId="0" borderId="0" xfId="1" applyNumberFormat="1" applyFont="1" applyFill="1" applyBorder="1"/>
    <xf numFmtId="43" fontId="14" fillId="0" borderId="0" xfId="0" applyNumberFormat="1" applyFont="1" applyBorder="1"/>
    <xf numFmtId="43" fontId="0" fillId="0" borderId="0" xfId="1" applyFont="1" applyBorder="1"/>
    <xf numFmtId="169" fontId="0" fillId="0" borderId="0" xfId="0" applyNumberFormat="1" applyBorder="1"/>
    <xf numFmtId="166" fontId="0" fillId="0" borderId="0" xfId="0" applyNumberFormat="1" applyBorder="1"/>
    <xf numFmtId="37" fontId="7" fillId="0" borderId="1" xfId="0" applyNumberFormat="1" applyFont="1" applyBorder="1"/>
    <xf numFmtId="37" fontId="7" fillId="0" borderId="0" xfId="0" applyNumberFormat="1" applyFont="1"/>
    <xf numFmtId="166" fontId="12" fillId="0" borderId="2" xfId="1" applyNumberFormat="1" applyFont="1" applyBorder="1"/>
    <xf numFmtId="166" fontId="12" fillId="0" borderId="0" xfId="1" applyNumberFormat="1" applyFont="1"/>
    <xf numFmtId="37" fontId="12" fillId="0" borderId="0" xfId="0" applyNumberFormat="1" applyFont="1" applyFill="1" applyBorder="1"/>
    <xf numFmtId="37" fontId="12" fillId="0" borderId="0" xfId="0" applyNumberFormat="1" applyFont="1" applyBorder="1"/>
    <xf numFmtId="37" fontId="0" fillId="0" borderId="0" xfId="0" applyNumberFormat="1" applyFont="1" applyBorder="1"/>
    <xf numFmtId="0" fontId="0" fillId="0" borderId="0" xfId="0" applyFont="1"/>
    <xf numFmtId="37" fontId="6" fillId="2" borderId="0" xfId="0" applyNumberFormat="1" applyFont="1" applyFill="1" applyBorder="1"/>
    <xf numFmtId="37" fontId="6" fillId="2" borderId="1" xfId="0" applyNumberFormat="1" applyFont="1" applyFill="1" applyBorder="1"/>
    <xf numFmtId="37" fontId="6" fillId="2" borderId="0" xfId="0" applyNumberFormat="1" applyFont="1" applyFill="1"/>
    <xf numFmtId="166" fontId="13" fillId="2" borderId="2" xfId="1" applyNumberFormat="1" applyFont="1" applyFill="1" applyBorder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166" fontId="16" fillId="0" borderId="0" xfId="1" applyNumberFormat="1" applyFont="1" applyBorder="1"/>
    <xf numFmtId="166" fontId="27" fillId="0" borderId="0" xfId="1" applyNumberFormat="1" applyFont="1" applyBorder="1"/>
    <xf numFmtId="166" fontId="5" fillId="0" borderId="0" xfId="1" applyNumberFormat="1" applyFont="1" applyBorder="1"/>
    <xf numFmtId="0" fontId="14" fillId="0" borderId="0" xfId="0" applyFont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 wrapText="1"/>
    </xf>
    <xf numFmtId="0" fontId="17" fillId="0" borderId="0" xfId="0" applyFont="1" applyBorder="1"/>
    <xf numFmtId="165" fontId="6" fillId="0" borderId="0" xfId="0" applyNumberFormat="1" applyFont="1" applyBorder="1" applyAlignment="1">
      <alignment horizontal="center" wrapText="1"/>
    </xf>
    <xf numFmtId="9" fontId="15" fillId="3" borderId="0" xfId="2" applyFont="1" applyFill="1" applyBorder="1"/>
    <xf numFmtId="9" fontId="15" fillId="0" borderId="0" xfId="2" applyFont="1" applyBorder="1"/>
    <xf numFmtId="9" fontId="15" fillId="0" borderId="0" xfId="2" applyFont="1" applyFill="1" applyBorder="1"/>
    <xf numFmtId="0" fontId="1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0" applyFont="1" applyBorder="1" applyAlignment="1">
      <alignment horizontal="center"/>
    </xf>
    <xf numFmtId="166" fontId="27" fillId="0" borderId="0" xfId="0" applyNumberFormat="1" applyFont="1" applyBorder="1"/>
    <xf numFmtId="166" fontId="14" fillId="0" borderId="0" xfId="0" applyNumberFormat="1" applyFont="1" applyBorder="1"/>
    <xf numFmtId="166" fontId="16" fillId="0" borderId="0" xfId="0" applyNumberFormat="1" applyFont="1" applyBorder="1"/>
    <xf numFmtId="0" fontId="0" fillId="0" borderId="0" xfId="0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37" fontId="6" fillId="0" borderId="0" xfId="0" applyNumberFormat="1" applyFont="1" applyFill="1" applyBorder="1"/>
    <xf numFmtId="37" fontId="6" fillId="0" borderId="0" xfId="0" applyNumberFormat="1" applyFont="1" applyFill="1"/>
    <xf numFmtId="0" fontId="0" fillId="0" borderId="2" xfId="0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3" fontId="6" fillId="0" borderId="0" xfId="1" applyFont="1" applyBorder="1"/>
    <xf numFmtId="43" fontId="14" fillId="0" borderId="0" xfId="1" applyFont="1" applyBorder="1"/>
    <xf numFmtId="0" fontId="11" fillId="0" borderId="0" xfId="0" applyFont="1" applyBorder="1"/>
    <xf numFmtId="43" fontId="11" fillId="0" borderId="0" xfId="1" applyFont="1" applyBorder="1"/>
    <xf numFmtId="43" fontId="0" fillId="0" borderId="0" xfId="1" applyFont="1"/>
    <xf numFmtId="14" fontId="0" fillId="0" borderId="5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43" fontId="0" fillId="0" borderId="8" xfId="1" applyFont="1" applyBorder="1"/>
    <xf numFmtId="43" fontId="0" fillId="0" borderId="9" xfId="0" applyNumberFormat="1" applyBorder="1"/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0" applyNumberFormat="1" applyBorder="1"/>
    <xf numFmtId="43" fontId="0" fillId="0" borderId="14" xfId="1" applyFont="1" applyBorder="1"/>
    <xf numFmtId="43" fontId="0" fillId="0" borderId="15" xfId="1" applyFont="1" applyBorder="1"/>
    <xf numFmtId="43" fontId="0" fillId="0" borderId="16" xfId="0" applyNumberFormat="1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0" xfId="0" applyNumberFormat="1" applyBorder="1"/>
    <xf numFmtId="43" fontId="0" fillId="4" borderId="14" xfId="1" applyFont="1" applyFill="1" applyBorder="1"/>
    <xf numFmtId="43" fontId="0" fillId="4" borderId="0" xfId="1" applyFont="1" applyFill="1" applyBorder="1"/>
    <xf numFmtId="43" fontId="0" fillId="0" borderId="0" xfId="0" applyNumberFormat="1"/>
    <xf numFmtId="43" fontId="0" fillId="0" borderId="0" xfId="0" applyNumberFormat="1" applyFill="1" applyBorder="1"/>
    <xf numFmtId="0" fontId="28" fillId="0" borderId="0" xfId="0" applyFont="1"/>
    <xf numFmtId="166" fontId="28" fillId="0" borderId="0" xfId="1" applyNumberFormat="1" applyFont="1"/>
    <xf numFmtId="166" fontId="30" fillId="0" borderId="0" xfId="1" applyNumberFormat="1" applyFont="1" applyAlignment="1">
      <alignment horizontal="center"/>
    </xf>
    <xf numFmtId="166" fontId="30" fillId="0" borderId="0" xfId="1" applyNumberFormat="1" applyFont="1" applyBorder="1" applyAlignment="1">
      <alignment horizontal="center"/>
    </xf>
    <xf numFmtId="166" fontId="28" fillId="0" borderId="4" xfId="1" applyNumberFormat="1" applyFont="1" applyBorder="1"/>
    <xf numFmtId="166" fontId="28" fillId="0" borderId="0" xfId="1" applyNumberFormat="1" applyFont="1" applyBorder="1"/>
    <xf numFmtId="166" fontId="28" fillId="0" borderId="0" xfId="1" applyNumberFormat="1" applyFont="1" applyAlignment="1">
      <alignment horizontal="center"/>
    </xf>
    <xf numFmtId="166" fontId="31" fillId="0" borderId="0" xfId="1" applyNumberFormat="1" applyFont="1" applyAlignment="1">
      <alignment horizontal="center"/>
    </xf>
    <xf numFmtId="166" fontId="29" fillId="0" borderId="0" xfId="1" applyNumberFormat="1" applyFont="1" applyBorder="1" applyAlignment="1">
      <alignment horizontal="center"/>
    </xf>
    <xf numFmtId="166" fontId="28" fillId="0" borderId="0" xfId="1" applyNumberFormat="1" applyFont="1" applyAlignment="1">
      <alignment horizontal="left"/>
    </xf>
    <xf numFmtId="166" fontId="28" fillId="0" borderId="0" xfId="1" applyNumberFormat="1" applyFont="1" applyBorder="1" applyAlignment="1">
      <alignment horizontal="left"/>
    </xf>
    <xf numFmtId="166" fontId="28" fillId="0" borderId="0" xfId="1" applyNumberFormat="1" applyFont="1" applyAlignment="1">
      <alignment horizontal="left" indent="1"/>
    </xf>
    <xf numFmtId="166" fontId="28" fillId="0" borderId="0" xfId="1" applyNumberFormat="1" applyFont="1" applyBorder="1" applyAlignment="1">
      <alignment horizontal="left" indent="1"/>
    </xf>
    <xf numFmtId="166" fontId="28" fillId="0" borderId="2" xfId="1" applyNumberFormat="1" applyFont="1" applyBorder="1"/>
    <xf numFmtId="166" fontId="29" fillId="0" borderId="13" xfId="1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0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33" fillId="0" borderId="0" xfId="0" applyFont="1" applyBorder="1" applyAlignment="1">
      <alignment wrapText="1"/>
    </xf>
    <xf numFmtId="165" fontId="32" fillId="0" borderId="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165" fontId="42" fillId="0" borderId="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164" fontId="43" fillId="0" borderId="0" xfId="0" applyNumberFormat="1" applyFont="1" applyBorder="1"/>
    <xf numFmtId="37" fontId="33" fillId="0" borderId="0" xfId="0" applyNumberFormat="1" applyFont="1" applyBorder="1"/>
    <xf numFmtId="37" fontId="28" fillId="0" borderId="0" xfId="0" applyNumberFormat="1" applyFont="1" applyBorder="1"/>
    <xf numFmtId="37" fontId="41" fillId="0" borderId="0" xfId="0" applyNumberFormat="1" applyFont="1" applyFill="1" applyBorder="1"/>
    <xf numFmtId="37" fontId="41" fillId="2" borderId="0" xfId="0" applyNumberFormat="1" applyFont="1" applyFill="1" applyBorder="1"/>
    <xf numFmtId="37" fontId="37" fillId="0" borderId="0" xfId="0" applyNumberFormat="1" applyFont="1" applyFill="1" applyBorder="1"/>
    <xf numFmtId="37" fontId="36" fillId="0" borderId="0" xfId="0" applyNumberFormat="1" applyFont="1" applyFill="1" applyBorder="1"/>
    <xf numFmtId="168" fontId="36" fillId="0" borderId="0" xfId="2" applyNumberFormat="1" applyFont="1" applyFill="1" applyBorder="1"/>
    <xf numFmtId="0" fontId="45" fillId="0" borderId="0" xfId="0" applyFont="1" applyBorder="1" applyAlignment="1">
      <alignment horizontal="center" wrapText="1"/>
    </xf>
    <xf numFmtId="0" fontId="28" fillId="0" borderId="0" xfId="0" applyFont="1" applyFill="1" applyBorder="1"/>
    <xf numFmtId="168" fontId="36" fillId="0" borderId="0" xfId="2" applyNumberFormat="1" applyFont="1" applyFill="1" applyBorder="1" applyAlignment="1">
      <alignment horizontal="right"/>
    </xf>
    <xf numFmtId="164" fontId="32" fillId="0" borderId="0" xfId="0" applyNumberFormat="1" applyFont="1" applyBorder="1"/>
    <xf numFmtId="0" fontId="32" fillId="0" borderId="0" xfId="0" applyFont="1" applyBorder="1"/>
    <xf numFmtId="37" fontId="32" fillId="0" borderId="0" xfId="0" applyNumberFormat="1" applyFont="1" applyBorder="1"/>
    <xf numFmtId="37" fontId="41" fillId="0" borderId="1" xfId="0" applyNumberFormat="1" applyFont="1" applyBorder="1"/>
    <xf numFmtId="37" fontId="41" fillId="2" borderId="1" xfId="0" applyNumberFormat="1" applyFont="1" applyFill="1" applyBorder="1"/>
    <xf numFmtId="37" fontId="46" fillId="0" borderId="0" xfId="0" applyNumberFormat="1" applyFont="1" applyFill="1" applyBorder="1"/>
    <xf numFmtId="37" fontId="42" fillId="0" borderId="1" xfId="0" applyNumberFormat="1" applyFont="1" applyFill="1" applyBorder="1"/>
    <xf numFmtId="168" fontId="42" fillId="0" borderId="1" xfId="2" applyNumberFormat="1" applyFont="1" applyFill="1" applyBorder="1"/>
    <xf numFmtId="166" fontId="41" fillId="0" borderId="0" xfId="1" applyNumberFormat="1" applyFont="1"/>
    <xf numFmtId="0" fontId="41" fillId="0" borderId="0" xfId="0" applyFont="1" applyFill="1"/>
    <xf numFmtId="0" fontId="36" fillId="0" borderId="0" xfId="0" applyFont="1"/>
    <xf numFmtId="0" fontId="37" fillId="0" borderId="0" xfId="0" applyFont="1" applyFill="1"/>
    <xf numFmtId="0" fontId="47" fillId="0" borderId="0" xfId="0" applyFont="1" applyFill="1"/>
    <xf numFmtId="0" fontId="36" fillId="0" borderId="0" xfId="0" applyFont="1" applyFill="1"/>
    <xf numFmtId="0" fontId="28" fillId="0" borderId="0" xfId="0" applyFont="1" applyFill="1"/>
    <xf numFmtId="166" fontId="33" fillId="0" borderId="0" xfId="1" applyNumberFormat="1" applyFont="1" applyFill="1"/>
    <xf numFmtId="166" fontId="28" fillId="0" borderId="0" xfId="1" applyNumberFormat="1" applyFont="1" applyFill="1"/>
    <xf numFmtId="166" fontId="41" fillId="0" borderId="0" xfId="1" applyNumberFormat="1" applyFont="1" applyFill="1"/>
    <xf numFmtId="166" fontId="41" fillId="2" borderId="0" xfId="1" applyNumberFormat="1" applyFont="1" applyFill="1"/>
    <xf numFmtId="166" fontId="36" fillId="0" borderId="0" xfId="1" applyNumberFormat="1" applyFont="1" applyFill="1"/>
    <xf numFmtId="37" fontId="37" fillId="0" borderId="0" xfId="0" applyNumberFormat="1" applyFont="1" applyFill="1"/>
    <xf numFmtId="166" fontId="28" fillId="0" borderId="0" xfId="0" applyNumberFormat="1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left"/>
    </xf>
    <xf numFmtId="37" fontId="47" fillId="0" borderId="1" xfId="0" applyNumberFormat="1" applyFont="1" applyFill="1" applyBorder="1"/>
    <xf numFmtId="0" fontId="44" fillId="0" borderId="0" xfId="0" applyFont="1" applyFill="1"/>
    <xf numFmtId="0" fontId="37" fillId="0" borderId="0" xfId="0" applyFont="1"/>
    <xf numFmtId="0" fontId="47" fillId="0" borderId="0" xfId="0" applyFont="1"/>
    <xf numFmtId="0" fontId="32" fillId="0" borderId="0" xfId="0" applyFont="1"/>
    <xf numFmtId="37" fontId="41" fillId="0" borderId="0" xfId="0" applyNumberFormat="1" applyFont="1"/>
    <xf numFmtId="37" fontId="41" fillId="2" borderId="0" xfId="0" applyNumberFormat="1" applyFont="1" applyFill="1"/>
    <xf numFmtId="168" fontId="48" fillId="0" borderId="0" xfId="2" applyNumberFormat="1" applyFont="1" applyFill="1" applyBorder="1"/>
    <xf numFmtId="37" fontId="42" fillId="0" borderId="0" xfId="0" applyNumberFormat="1" applyFont="1"/>
    <xf numFmtId="0" fontId="49" fillId="0" borderId="0" xfId="0" applyFont="1"/>
    <xf numFmtId="166" fontId="50" fillId="0" borderId="0" xfId="1" applyNumberFormat="1" applyFont="1"/>
    <xf numFmtId="166" fontId="49" fillId="0" borderId="0" xfId="1" applyNumberFormat="1" applyFont="1"/>
    <xf numFmtId="166" fontId="37" fillId="0" borderId="0" xfId="1" applyNumberFormat="1" applyFont="1"/>
    <xf numFmtId="166" fontId="37" fillId="0" borderId="0" xfId="1" applyNumberFormat="1" applyFont="1" applyFill="1"/>
    <xf numFmtId="166" fontId="33" fillId="0" borderId="0" xfId="1" applyNumberFormat="1" applyFont="1"/>
    <xf numFmtId="166" fontId="44" fillId="0" borderId="0" xfId="1" applyNumberFormat="1" applyFont="1"/>
    <xf numFmtId="0" fontId="44" fillId="0" borderId="0" xfId="0" applyFont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2" fillId="0" borderId="0" xfId="0" applyFont="1" applyAlignment="1">
      <alignment vertical="center" readingOrder="1"/>
    </xf>
    <xf numFmtId="0" fontId="28" fillId="0" borderId="0" xfId="0" applyFont="1" applyAlignment="1">
      <alignment vertical="center" readingOrder="1"/>
    </xf>
    <xf numFmtId="37" fontId="28" fillId="0" borderId="0" xfId="0" applyNumberFormat="1" applyFont="1" applyAlignment="1">
      <alignment vertical="center" readingOrder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5" fillId="0" borderId="0" xfId="0" applyFont="1"/>
    <xf numFmtId="0" fontId="38" fillId="0" borderId="0" xfId="0" applyFont="1"/>
    <xf numFmtId="166" fontId="29" fillId="0" borderId="14" xfId="1" applyNumberFormat="1" applyFont="1" applyBorder="1" applyAlignment="1">
      <alignment horizontal="center"/>
    </xf>
    <xf numFmtId="166" fontId="32" fillId="0" borderId="0" xfId="1" applyNumberFormat="1" applyFont="1" applyBorder="1"/>
    <xf numFmtId="43" fontId="32" fillId="0" borderId="0" xfId="0" applyNumberFormat="1" applyFont="1" applyBorder="1"/>
    <xf numFmtId="0" fontId="32" fillId="0" borderId="0" xfId="0" applyFont="1" applyAlignment="1">
      <alignment horizontal="right"/>
    </xf>
    <xf numFmtId="166" fontId="32" fillId="0" borderId="2" xfId="1" applyNumberFormat="1" applyFont="1" applyBorder="1"/>
    <xf numFmtId="166" fontId="28" fillId="0" borderId="0" xfId="0" applyNumberFormat="1" applyFont="1" applyAlignment="1">
      <alignment vertical="center" readingOrder="1"/>
    </xf>
    <xf numFmtId="0" fontId="32" fillId="0" borderId="0" xfId="0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166" fontId="32" fillId="0" borderId="4" xfId="1" applyNumberFormat="1" applyFont="1" applyBorder="1"/>
    <xf numFmtId="10" fontId="0" fillId="0" borderId="0" xfId="2" applyNumberFormat="1" applyFont="1"/>
    <xf numFmtId="8" fontId="0" fillId="0" borderId="0" xfId="0" applyNumberFormat="1"/>
    <xf numFmtId="14" fontId="0" fillId="0" borderId="0" xfId="0" applyNumberFormat="1"/>
    <xf numFmtId="6" fontId="0" fillId="0" borderId="0" xfId="0" applyNumberFormat="1"/>
    <xf numFmtId="10" fontId="53" fillId="0" borderId="7" xfId="2" applyNumberFormat="1" applyFont="1" applyBorder="1"/>
    <xf numFmtId="6" fontId="53" fillId="0" borderId="6" xfId="0" applyNumberFormat="1" applyFont="1" applyBorder="1"/>
    <xf numFmtId="0" fontId="53" fillId="0" borderId="5" xfId="0" applyFont="1" applyBorder="1"/>
    <xf numFmtId="10" fontId="54" fillId="0" borderId="0" xfId="2" applyNumberFormat="1" applyFont="1"/>
    <xf numFmtId="6" fontId="54" fillId="0" borderId="0" xfId="0" applyNumberFormat="1" applyFont="1"/>
    <xf numFmtId="0" fontId="54" fillId="0" borderId="0" xfId="0" applyFont="1"/>
    <xf numFmtId="10" fontId="5" fillId="0" borderId="4" xfId="2" applyNumberFormat="1" applyFont="1" applyBorder="1"/>
    <xf numFmtId="6" fontId="5" fillId="0" borderId="4" xfId="0" applyNumberFormat="1" applyFont="1" applyBorder="1"/>
    <xf numFmtId="6" fontId="0" fillId="0" borderId="0" xfId="0" applyNumberFormat="1" applyFill="1"/>
    <xf numFmtId="6" fontId="5" fillId="0" borderId="4" xfId="0" applyNumberFormat="1" applyFont="1" applyFill="1" applyBorder="1"/>
    <xf numFmtId="10" fontId="5" fillId="0" borderId="2" xfId="2" applyNumberFormat="1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6" fontId="5" fillId="0" borderId="21" xfId="0" applyNumberFormat="1" applyFont="1" applyBorder="1" applyAlignment="1">
      <alignment horizontal="center"/>
    </xf>
    <xf numFmtId="16" fontId="5" fillId="0" borderId="21" xfId="0" quotePrefix="1" applyNumberFormat="1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10" fontId="54" fillId="0" borderId="4" xfId="2" applyNumberFormat="1" applyFont="1" applyBorder="1"/>
    <xf numFmtId="6" fontId="54" fillId="0" borderId="4" xfId="0" applyNumberFormat="1" applyFont="1" applyBorder="1"/>
    <xf numFmtId="166" fontId="0" fillId="0" borderId="0" xfId="1" applyNumberFormat="1" applyFont="1"/>
    <xf numFmtId="10" fontId="5" fillId="0" borderId="0" xfId="2" applyNumberFormat="1" applyFont="1" applyBorder="1"/>
    <xf numFmtId="6" fontId="5" fillId="0" borderId="0" xfId="0" applyNumberFormat="1" applyFont="1" applyBorder="1"/>
    <xf numFmtId="6" fontId="5" fillId="0" borderId="21" xfId="0" applyNumberFormat="1" applyFont="1" applyFill="1" applyBorder="1" applyAlignment="1">
      <alignment horizontal="center"/>
    </xf>
    <xf numFmtId="6" fontId="54" fillId="0" borderId="0" xfId="0" applyNumberFormat="1" applyFont="1" applyFill="1"/>
    <xf numFmtId="6" fontId="5" fillId="0" borderId="0" xfId="0" applyNumberFormat="1" applyFont="1" applyFill="1" applyBorder="1"/>
    <xf numFmtId="0" fontId="0" fillId="0" borderId="0" xfId="0" quotePrefix="1"/>
    <xf numFmtId="0" fontId="0" fillId="0" borderId="0" xfId="0" applyNumberFormat="1"/>
    <xf numFmtId="49" fontId="0" fillId="0" borderId="0" xfId="0" quotePrefix="1" applyNumberFormat="1"/>
    <xf numFmtId="49" fontId="0" fillId="0" borderId="0" xfId="0" applyNumberFormat="1"/>
    <xf numFmtId="10" fontId="0" fillId="0" borderId="4" xfId="2" applyNumberFormat="1" applyFont="1" applyBorder="1"/>
    <xf numFmtId="6" fontId="0" fillId="0" borderId="4" xfId="0" applyNumberFormat="1" applyBorder="1"/>
    <xf numFmtId="0" fontId="55" fillId="0" borderId="0" xfId="0" applyFont="1"/>
    <xf numFmtId="10" fontId="54" fillId="0" borderId="0" xfId="2" applyNumberFormat="1" applyFont="1" applyBorder="1"/>
    <xf numFmtId="6" fontId="54" fillId="0" borderId="0" xfId="0" applyNumberFormat="1" applyFont="1" applyBorder="1"/>
    <xf numFmtId="49" fontId="55" fillId="0" borderId="0" xfId="0" applyNumberFormat="1" applyFont="1"/>
    <xf numFmtId="10" fontId="53" fillId="0" borderId="1" xfId="2" applyNumberFormat="1" applyFont="1" applyBorder="1"/>
    <xf numFmtId="6" fontId="53" fillId="0" borderId="1" xfId="0" applyNumberFormat="1" applyFont="1" applyBorder="1"/>
    <xf numFmtId="0" fontId="53" fillId="0" borderId="0" xfId="0" applyFont="1"/>
    <xf numFmtId="0" fontId="5" fillId="0" borderId="4" xfId="0" applyFont="1" applyBorder="1"/>
    <xf numFmtId="40" fontId="0" fillId="0" borderId="0" xfId="0" applyNumberFormat="1" applyProtection="1"/>
    <xf numFmtId="49" fontId="0" fillId="0" borderId="0" xfId="0" applyNumberFormat="1" applyProtection="1">
      <protection locked="0"/>
    </xf>
    <xf numFmtId="6" fontId="5" fillId="0" borderId="1" xfId="0" applyNumberFormat="1" applyFont="1" applyBorder="1"/>
    <xf numFmtId="2" fontId="0" fillId="0" borderId="0" xfId="0" applyNumberFormat="1"/>
    <xf numFmtId="6" fontId="5" fillId="0" borderId="1" xfId="0" applyNumberFormat="1" applyFont="1" applyFill="1" applyBorder="1"/>
    <xf numFmtId="10" fontId="5" fillId="0" borderId="0" xfId="2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6" fontId="28" fillId="0" borderId="0" xfId="0" applyNumberFormat="1" applyFont="1" applyAlignment="1">
      <alignment vertical="center" readingOrder="1"/>
    </xf>
    <xf numFmtId="6" fontId="28" fillId="0" borderId="0" xfId="0" applyNumberFormat="1" applyFont="1"/>
    <xf numFmtId="166" fontId="28" fillId="0" borderId="0" xfId="0" applyNumberFormat="1" applyFont="1" applyAlignment="1">
      <alignment horizontal="left" vertical="center" readingOrder="1"/>
    </xf>
    <xf numFmtId="166" fontId="32" fillId="0" borderId="20" xfId="0" applyNumberFormat="1" applyFont="1" applyBorder="1" applyAlignment="1">
      <alignment vertical="center" readingOrder="1"/>
    </xf>
    <xf numFmtId="165" fontId="32" fillId="0" borderId="0" xfId="0" applyNumberFormat="1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165" fontId="47" fillId="0" borderId="2" xfId="0" applyNumberFormat="1" applyFont="1" applyFill="1" applyBorder="1" applyAlignment="1">
      <alignment horizontal="center" vertical="center" wrapText="1"/>
    </xf>
    <xf numFmtId="37" fontId="56" fillId="0" borderId="0" xfId="0" applyNumberFormat="1" applyFont="1" applyBorder="1"/>
    <xf numFmtId="37" fontId="57" fillId="0" borderId="1" xfId="0" applyNumberFormat="1" applyFont="1" applyBorder="1"/>
    <xf numFmtId="166" fontId="56" fillId="0" borderId="0" xfId="1" applyNumberFormat="1" applyFont="1" applyFill="1"/>
    <xf numFmtId="168" fontId="58" fillId="0" borderId="0" xfId="2" applyNumberFormat="1" applyFont="1" applyFill="1" applyBorder="1"/>
    <xf numFmtId="37" fontId="47" fillId="0" borderId="1" xfId="0" applyNumberFormat="1" applyFont="1" applyBorder="1"/>
    <xf numFmtId="168" fontId="58" fillId="0" borderId="1" xfId="2" applyNumberFormat="1" applyFont="1" applyFill="1" applyBorder="1"/>
    <xf numFmtId="0" fontId="56" fillId="0" borderId="0" xfId="0" applyFont="1"/>
    <xf numFmtId="0" fontId="58" fillId="0" borderId="0" xfId="0" applyFont="1" applyFill="1"/>
    <xf numFmtId="37" fontId="33" fillId="0" borderId="13" xfId="0" applyNumberFormat="1" applyFont="1" applyBorder="1"/>
    <xf numFmtId="168" fontId="56" fillId="0" borderId="14" xfId="2" applyNumberFormat="1" applyFont="1" applyBorder="1"/>
    <xf numFmtId="37" fontId="41" fillId="0" borderId="24" xfId="0" applyNumberFormat="1" applyFont="1" applyBorder="1"/>
    <xf numFmtId="168" fontId="57" fillId="0" borderId="25" xfId="2" applyNumberFormat="1" applyFont="1" applyBorder="1"/>
    <xf numFmtId="166" fontId="41" fillId="0" borderId="13" xfId="1" applyNumberFormat="1" applyFont="1" applyBorder="1"/>
    <xf numFmtId="166" fontId="57" fillId="0" borderId="0" xfId="1" applyNumberFormat="1" applyFont="1" applyBorder="1"/>
    <xf numFmtId="166" fontId="57" fillId="0" borderId="14" xfId="1" applyNumberFormat="1" applyFont="1" applyBorder="1"/>
    <xf numFmtId="166" fontId="28" fillId="0" borderId="13" xfId="1" applyNumberFormat="1" applyFont="1" applyFill="1" applyBorder="1"/>
    <xf numFmtId="166" fontId="56" fillId="0" borderId="0" xfId="1" applyNumberFormat="1" applyFont="1" applyFill="1" applyBorder="1"/>
    <xf numFmtId="168" fontId="56" fillId="0" borderId="14" xfId="2" applyNumberFormat="1" applyFont="1" applyFill="1" applyBorder="1"/>
    <xf numFmtId="10" fontId="57" fillId="0" borderId="25" xfId="2" applyNumberFormat="1" applyFont="1" applyBorder="1"/>
    <xf numFmtId="0" fontId="56" fillId="5" borderId="21" xfId="0" applyFont="1" applyFill="1" applyBorder="1" applyAlignment="1">
      <alignment horizontal="center" vertical="center" wrapText="1"/>
    </xf>
    <xf numFmtId="165" fontId="47" fillId="5" borderId="23" xfId="0" applyNumberFormat="1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43" fontId="44" fillId="0" borderId="0" xfId="0" applyNumberFormat="1" applyFont="1"/>
    <xf numFmtId="0" fontId="33" fillId="0" borderId="0" xfId="0" applyFont="1" applyBorder="1"/>
    <xf numFmtId="6" fontId="7" fillId="0" borderId="0" xfId="0" applyNumberFormat="1" applyFont="1"/>
    <xf numFmtId="10" fontId="7" fillId="0" borderId="0" xfId="2" applyNumberFormat="1" applyFont="1"/>
    <xf numFmtId="0" fontId="4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0" fillId="6" borderId="0" xfId="0" applyFill="1"/>
    <xf numFmtId="166" fontId="0" fillId="6" borderId="0" xfId="1" applyNumberFormat="1" applyFont="1" applyFill="1"/>
    <xf numFmtId="6" fontId="5" fillId="6" borderId="1" xfId="0" applyNumberFormat="1" applyFont="1" applyFill="1" applyBorder="1"/>
    <xf numFmtId="6" fontId="5" fillId="6" borderId="4" xfId="0" applyNumberFormat="1" applyFont="1" applyFill="1" applyBorder="1"/>
    <xf numFmtId="0" fontId="5" fillId="6" borderId="0" xfId="0" applyFont="1" applyFill="1" applyBorder="1"/>
    <xf numFmtId="6" fontId="53" fillId="6" borderId="1" xfId="0" applyNumberFormat="1" applyFont="1" applyFill="1" applyBorder="1"/>
    <xf numFmtId="6" fontId="54" fillId="6" borderId="0" xfId="0" applyNumberFormat="1" applyFont="1" applyFill="1" applyBorder="1"/>
    <xf numFmtId="0" fontId="54" fillId="6" borderId="0" xfId="0" applyFont="1" applyFill="1"/>
    <xf numFmtId="6" fontId="54" fillId="6" borderId="0" xfId="0" applyNumberFormat="1" applyFont="1" applyFill="1"/>
    <xf numFmtId="6" fontId="0" fillId="6" borderId="4" xfId="0" applyNumberFormat="1" applyFill="1" applyBorder="1"/>
    <xf numFmtId="6" fontId="54" fillId="6" borderId="4" xfId="0" applyNumberFormat="1" applyFont="1" applyFill="1" applyBorder="1"/>
    <xf numFmtId="6" fontId="53" fillId="6" borderId="6" xfId="0" applyNumberFormat="1" applyFont="1" applyFill="1" applyBorder="1"/>
    <xf numFmtId="6" fontId="7" fillId="6" borderId="0" xfId="0" applyNumberFormat="1" applyFont="1" applyFill="1"/>
    <xf numFmtId="6" fontId="0" fillId="6" borderId="0" xfId="0" applyNumberFormat="1" applyFill="1"/>
    <xf numFmtId="166" fontId="5" fillId="0" borderId="21" xfId="1" quotePrefix="1" applyNumberFormat="1" applyFont="1" applyBorder="1" applyAlignment="1">
      <alignment horizontal="center"/>
    </xf>
    <xf numFmtId="166" fontId="5" fillId="0" borderId="1" xfId="1" applyNumberFormat="1" applyFont="1" applyBorder="1"/>
    <xf numFmtId="166" fontId="5" fillId="0" borderId="4" xfId="1" applyNumberFormat="1" applyFont="1" applyBorder="1"/>
    <xf numFmtId="166" fontId="53" fillId="0" borderId="1" xfId="1" applyNumberFormat="1" applyFont="1" applyBorder="1"/>
    <xf numFmtId="166" fontId="54" fillId="0" borderId="0" xfId="1" applyNumberFormat="1" applyFont="1" applyBorder="1"/>
    <xf numFmtId="166" fontId="54" fillId="0" borderId="0" xfId="1" applyNumberFormat="1" applyFont="1"/>
    <xf numFmtId="166" fontId="0" fillId="0" borderId="4" xfId="1" applyNumberFormat="1" applyFont="1" applyBorder="1"/>
    <xf numFmtId="166" fontId="5" fillId="0" borderId="4" xfId="1" applyNumberFormat="1" applyFont="1" applyFill="1" applyBorder="1"/>
    <xf numFmtId="166" fontId="54" fillId="0" borderId="0" xfId="1" applyNumberFormat="1" applyFont="1" applyFill="1"/>
    <xf numFmtId="166" fontId="54" fillId="0" borderId="4" xfId="1" applyNumberFormat="1" applyFont="1" applyBorder="1"/>
    <xf numFmtId="166" fontId="53" fillId="0" borderId="6" xfId="1" applyNumberFormat="1" applyFont="1" applyBorder="1"/>
    <xf numFmtId="166" fontId="7" fillId="0" borderId="0" xfId="1" applyNumberFormat="1" applyFont="1"/>
    <xf numFmtId="166" fontId="5" fillId="0" borderId="0" xfId="1" quotePrefix="1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vertical="center" readingOrder="1"/>
    </xf>
    <xf numFmtId="166" fontId="38" fillId="0" borderId="0" xfId="0" applyNumberFormat="1" applyFont="1"/>
    <xf numFmtId="166" fontId="5" fillId="0" borderId="4" xfId="0" applyNumberFormat="1" applyFont="1" applyBorder="1"/>
    <xf numFmtId="0" fontId="28" fillId="0" borderId="0" xfId="0" applyFont="1" applyBorder="1" applyAlignment="1">
      <alignment vertical="center" readingOrder="1"/>
    </xf>
    <xf numFmtId="166" fontId="32" fillId="0" borderId="20" xfId="1" applyNumberFormat="1" applyFont="1" applyBorder="1" applyAlignment="1">
      <alignment vertical="center" readingOrder="1"/>
    </xf>
    <xf numFmtId="168" fontId="36" fillId="0" borderId="0" xfId="2" applyNumberFormat="1" applyFont="1"/>
    <xf numFmtId="166" fontId="54" fillId="0" borderId="0" xfId="0" applyNumberFormat="1" applyFont="1"/>
    <xf numFmtId="0" fontId="32" fillId="0" borderId="0" xfId="0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6" fontId="5" fillId="0" borderId="5" xfId="0" applyNumberFormat="1" applyFon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6" fontId="5" fillId="0" borderId="7" xfId="0" applyNumberFormat="1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6" fontId="5" fillId="0" borderId="5" xfId="0" applyNumberFormat="1" applyFont="1" applyFill="1" applyBorder="1" applyAlignment="1">
      <alignment horizontal="center"/>
    </xf>
    <xf numFmtId="6" fontId="5" fillId="0" borderId="6" xfId="0" applyNumberFormat="1" applyFont="1" applyFill="1" applyBorder="1" applyAlignment="1">
      <alignment horizontal="center"/>
    </xf>
    <xf numFmtId="6" fontId="5" fillId="0" borderId="7" xfId="0" applyNumberFormat="1" applyFont="1" applyFill="1" applyBorder="1" applyAlignment="1">
      <alignment horizontal="center"/>
    </xf>
    <xf numFmtId="166" fontId="29" fillId="0" borderId="16" xfId="1" applyNumberFormat="1" applyFont="1" applyBorder="1" applyAlignment="1">
      <alignment horizontal="center"/>
    </xf>
    <xf numFmtId="166" fontId="29" fillId="0" borderId="17" xfId="1" applyNumberFormat="1" applyFont="1" applyBorder="1" applyAlignment="1">
      <alignment horizontal="center"/>
    </xf>
    <xf numFmtId="166" fontId="29" fillId="0" borderId="18" xfId="1" applyNumberFormat="1" applyFont="1" applyBorder="1" applyAlignment="1">
      <alignment horizontal="center"/>
    </xf>
    <xf numFmtId="166" fontId="29" fillId="0" borderId="9" xfId="1" applyNumberFormat="1" applyFont="1" applyBorder="1" applyAlignment="1">
      <alignment horizontal="center"/>
    </xf>
    <xf numFmtId="166" fontId="29" fillId="0" borderId="10" xfId="1" applyNumberFormat="1" applyFont="1" applyBorder="1" applyAlignment="1">
      <alignment horizontal="center"/>
    </xf>
    <xf numFmtId="166" fontId="29" fillId="0" borderId="11" xfId="1" applyNumberFormat="1" applyFont="1" applyBorder="1" applyAlignment="1">
      <alignment horizontal="center"/>
    </xf>
    <xf numFmtId="166" fontId="28" fillId="0" borderId="10" xfId="1" applyNumberFormat="1" applyFont="1" applyBorder="1" applyAlignment="1">
      <alignment horizontal="center"/>
    </xf>
    <xf numFmtId="166" fontId="28" fillId="0" borderId="11" xfId="1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Hood\My%20Documents\Downloads\Payroll%20Journals-%20Broad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yroll-12-31-16"/>
      <sheetName val="Payroll-01-15-17"/>
      <sheetName val="Payroll-01-31-17"/>
      <sheetName val="Payroll-02-15-17"/>
      <sheetName val="Payroll-02-28-17"/>
      <sheetName val="Payroll-03-15-17"/>
      <sheetName val="Payroll-03-31-17 "/>
      <sheetName val="Payroll-04-15-17"/>
      <sheetName val="Payroll-04-30-17 "/>
      <sheetName val="Payroll-05-15-17 "/>
    </sheetNames>
    <sheetDataSet>
      <sheetData sheetId="0"/>
      <sheetData sheetId="1">
        <row r="135">
          <cell r="D135">
            <v>4216.67</v>
          </cell>
        </row>
        <row r="136">
          <cell r="D136">
            <v>3388.33</v>
          </cell>
        </row>
        <row r="137">
          <cell r="D137">
            <v>3524.33</v>
          </cell>
        </row>
        <row r="138">
          <cell r="D138">
            <v>1335.46</v>
          </cell>
        </row>
        <row r="139">
          <cell r="D139">
            <v>7048.3910000000005</v>
          </cell>
        </row>
        <row r="140">
          <cell r="D140">
            <v>127620.56999999999</v>
          </cell>
        </row>
        <row r="141">
          <cell r="D141">
            <v>86548.319999999992</v>
          </cell>
        </row>
        <row r="142">
          <cell r="D142">
            <v>23846.043999999998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68"/>
  <sheetViews>
    <sheetView topLeftCell="A26" zoomScaleNormal="100" workbookViewId="0">
      <selection activeCell="P39" sqref="P39"/>
    </sheetView>
  </sheetViews>
  <sheetFormatPr defaultColWidth="8.85546875" defaultRowHeight="15" x14ac:dyDescent="0.25"/>
  <cols>
    <col min="1" max="1" width="14" style="154" customWidth="1"/>
    <col min="2" max="2" width="42.28515625" style="154" bestFit="1" customWidth="1"/>
    <col min="3" max="4" width="2.7109375" style="154" customWidth="1"/>
    <col min="5" max="5" width="16.28515625" style="154" customWidth="1"/>
    <col min="6" max="6" width="17.7109375" style="154" customWidth="1"/>
    <col min="7" max="7" width="4.42578125" style="154" customWidth="1"/>
    <col min="8" max="9" width="17.7109375" style="154" customWidth="1"/>
    <col min="10" max="10" width="15.7109375" style="154" customWidth="1"/>
    <col min="11" max="11" width="4.28515625" style="154" customWidth="1"/>
    <col min="12" max="12" width="17.42578125" style="250" customWidth="1"/>
    <col min="13" max="13" width="15.5703125" style="211" customWidth="1"/>
    <col min="14" max="14" width="11.5703125" style="214" customWidth="1"/>
    <col min="15" max="15" width="2.7109375" style="227" customWidth="1"/>
    <col min="16" max="16" width="18.42578125" style="251" customWidth="1"/>
    <col min="17" max="17" width="16.7109375" style="211" customWidth="1"/>
    <col min="18" max="18" width="11.5703125" style="211" customWidth="1"/>
    <col min="19" max="19" width="8.85546875" style="154"/>
    <col min="20" max="20" width="14.7109375" style="154" bestFit="1" customWidth="1"/>
    <col min="21" max="21" width="11.7109375" style="154" bestFit="1" customWidth="1"/>
    <col min="22" max="22" width="12.28515625" style="154" customWidth="1"/>
    <col min="23" max="16384" width="8.85546875" style="154"/>
  </cols>
  <sheetData>
    <row r="1" spans="1:82" s="169" customFormat="1" ht="15.75" x14ac:dyDescent="0.25">
      <c r="A1" s="381" t="s">
        <v>118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82" s="169" customFormat="1" ht="15.75" x14ac:dyDescent="0.25">
      <c r="A2" s="381" t="s">
        <v>122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82" s="169" customFormat="1" ht="15.75" x14ac:dyDescent="0.25">
      <c r="A3" s="382" t="s">
        <v>944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82" s="170" customFormat="1" ht="18.75" x14ac:dyDescent="0.3">
      <c r="A4" s="383" t="s">
        <v>105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</row>
    <row r="5" spans="1:82" s="178" customFormat="1" ht="19.5" thickBot="1" x14ac:dyDescent="0.3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  <c r="M5" s="174"/>
      <c r="N5" s="175"/>
      <c r="O5" s="176"/>
      <c r="P5" s="177"/>
      <c r="Q5" s="174"/>
      <c r="R5" s="174"/>
    </row>
    <row r="6" spans="1:82" s="189" customFormat="1" ht="68.25" customHeight="1" x14ac:dyDescent="0.25">
      <c r="A6" s="179"/>
      <c r="B6" s="180" t="s">
        <v>14</v>
      </c>
      <c r="C6" s="181"/>
      <c r="D6" s="172"/>
      <c r="E6" s="182" t="s">
        <v>124</v>
      </c>
      <c r="F6" s="182" t="s">
        <v>123</v>
      </c>
      <c r="G6" s="316"/>
      <c r="H6" s="340" t="s">
        <v>923</v>
      </c>
      <c r="I6" s="338" t="s">
        <v>22</v>
      </c>
      <c r="J6" s="339" t="s">
        <v>924</v>
      </c>
      <c r="K6" s="183"/>
      <c r="L6" s="184" t="s">
        <v>881</v>
      </c>
      <c r="M6" s="317" t="s">
        <v>22</v>
      </c>
      <c r="N6" s="318" t="s">
        <v>24</v>
      </c>
      <c r="O6" s="186"/>
      <c r="P6" s="187" t="s">
        <v>882</v>
      </c>
      <c r="Q6" s="185" t="s">
        <v>23</v>
      </c>
      <c r="R6" s="188" t="s">
        <v>21</v>
      </c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</row>
    <row r="7" spans="1:82" s="198" customFormat="1" ht="15.75" x14ac:dyDescent="0.25">
      <c r="A7" s="190" t="s">
        <v>9</v>
      </c>
      <c r="B7" s="178" t="s">
        <v>0</v>
      </c>
      <c r="C7" s="191"/>
      <c r="D7" s="192"/>
      <c r="E7" s="191">
        <f>'GF-DETAIL'!L17</f>
        <v>11874.531999999999</v>
      </c>
      <c r="F7" s="191">
        <f>'GF-DETAIL'!S17</f>
        <v>1672456.172</v>
      </c>
      <c r="G7" s="191"/>
      <c r="H7" s="327">
        <f>L7/12*6</f>
        <v>3018648</v>
      </c>
      <c r="I7" s="319">
        <f>F7-H7</f>
        <v>-1346191.828</v>
      </c>
      <c r="J7" s="328">
        <f>F7/H7</f>
        <v>0.55404146889600903</v>
      </c>
      <c r="K7" s="193"/>
      <c r="L7" s="194">
        <f>'GF-DETAIL'!T17</f>
        <v>6037296</v>
      </c>
      <c r="M7" s="319">
        <f>+F7-L7</f>
        <v>-4364839.8279999997</v>
      </c>
      <c r="N7" s="322">
        <f>F7/L7</f>
        <v>0.27702073444800451</v>
      </c>
      <c r="O7" s="195"/>
      <c r="P7" s="194">
        <f>'GF-DETAIL'!D17</f>
        <v>5410639.3199999994</v>
      </c>
      <c r="Q7" s="196">
        <f>+F7-P7</f>
        <v>-3738183.1479999991</v>
      </c>
      <c r="R7" s="197">
        <f>+Q7/P7</f>
        <v>-0.69089490666696285</v>
      </c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</row>
    <row r="8" spans="1:82" s="178" customFormat="1" ht="15.75" x14ac:dyDescent="0.25">
      <c r="B8" s="178" t="s">
        <v>1</v>
      </c>
      <c r="C8" s="191"/>
      <c r="D8" s="192"/>
      <c r="E8" s="191">
        <f>'GF-DETAIL'!L28</f>
        <v>427266.19999999995</v>
      </c>
      <c r="F8" s="191">
        <f>'GF-DETAIL'!S28</f>
        <v>2892033.33</v>
      </c>
      <c r="G8" s="191"/>
      <c r="H8" s="327">
        <f t="shared" ref="H8:H15" si="0">L8/12*6</f>
        <v>2354004</v>
      </c>
      <c r="I8" s="319">
        <f t="shared" ref="I8:I15" si="1">F8-H8</f>
        <v>538029.33000000007</v>
      </c>
      <c r="J8" s="328">
        <f t="shared" ref="J8:J36" si="2">F8/H8</f>
        <v>1.2285592250480459</v>
      </c>
      <c r="K8" s="193"/>
      <c r="L8" s="194">
        <f>'GF-DETAIL'!T28</f>
        <v>4708008</v>
      </c>
      <c r="M8" s="319">
        <f t="shared" ref="M8:M15" si="3">+F8-L8</f>
        <v>-1815974.67</v>
      </c>
      <c r="N8" s="322">
        <f t="shared" ref="N8:N15" si="4">F8/L8</f>
        <v>0.61427961252402297</v>
      </c>
      <c r="O8" s="195"/>
      <c r="P8" s="194">
        <f>'GF-DETAIL'!D28</f>
        <v>4777378.1500000004</v>
      </c>
      <c r="Q8" s="196">
        <f>+F8-P8</f>
        <v>-1885344.8200000003</v>
      </c>
      <c r="R8" s="197">
        <f t="shared" ref="R8:R15" si="5">+Q8/P8</f>
        <v>-0.39464006423690789</v>
      </c>
    </row>
    <row r="9" spans="1:82" s="178" customFormat="1" ht="15.75" x14ac:dyDescent="0.25">
      <c r="B9" s="178" t="s">
        <v>2</v>
      </c>
      <c r="C9" s="191"/>
      <c r="D9" s="192"/>
      <c r="E9" s="191">
        <f>'GF-DETAIL'!L35</f>
        <v>165110.94</v>
      </c>
      <c r="F9" s="191">
        <f>'GF-DETAIL'!S35</f>
        <v>918154.91</v>
      </c>
      <c r="G9" s="191"/>
      <c r="H9" s="327">
        <f t="shared" si="0"/>
        <v>940000</v>
      </c>
      <c r="I9" s="319">
        <f t="shared" si="1"/>
        <v>-21845.089999999967</v>
      </c>
      <c r="J9" s="328">
        <f t="shared" si="2"/>
        <v>0.97676054255319156</v>
      </c>
      <c r="K9" s="193"/>
      <c r="L9" s="194">
        <f>'GF-DETAIL'!T35</f>
        <v>1880000</v>
      </c>
      <c r="M9" s="319">
        <f t="shared" si="3"/>
        <v>-961845.09</v>
      </c>
      <c r="N9" s="322">
        <f t="shared" si="4"/>
        <v>0.48838027127659578</v>
      </c>
      <c r="O9" s="195"/>
      <c r="P9" s="194">
        <f>'GF-DETAIL'!D35</f>
        <v>1470964.96</v>
      </c>
      <c r="Q9" s="196">
        <f t="shared" ref="Q9:Q15" si="6">+F9-P9</f>
        <v>-552810.04999999993</v>
      </c>
      <c r="R9" s="197">
        <f t="shared" si="5"/>
        <v>-0.37581456053174778</v>
      </c>
    </row>
    <row r="10" spans="1:82" s="178" customFormat="1" ht="15.75" x14ac:dyDescent="0.25">
      <c r="B10" s="178" t="s">
        <v>3</v>
      </c>
      <c r="C10" s="191"/>
      <c r="D10" s="192"/>
      <c r="E10" s="191">
        <f>'GF-DETAIL'!L52</f>
        <v>55134</v>
      </c>
      <c r="F10" s="191">
        <f>'GF-DETAIL'!S52</f>
        <v>305286.65999999997</v>
      </c>
      <c r="G10" s="191"/>
      <c r="H10" s="327">
        <f t="shared" si="0"/>
        <v>308588.33500000002</v>
      </c>
      <c r="I10" s="319">
        <f t="shared" si="1"/>
        <v>-3301.6750000000466</v>
      </c>
      <c r="J10" s="328">
        <f t="shared" si="2"/>
        <v>0.98930071352178606</v>
      </c>
      <c r="K10" s="193"/>
      <c r="L10" s="194">
        <f>'GF-DETAIL'!T52</f>
        <v>617176.67000000004</v>
      </c>
      <c r="M10" s="319">
        <f t="shared" si="3"/>
        <v>-311890.01000000007</v>
      </c>
      <c r="N10" s="322">
        <f t="shared" si="4"/>
        <v>0.49465035676089303</v>
      </c>
      <c r="O10" s="195"/>
      <c r="P10" s="194">
        <f>'GF-DETAIL'!D52</f>
        <v>850921.55999999994</v>
      </c>
      <c r="Q10" s="196">
        <f t="shared" si="6"/>
        <v>-545634.89999999991</v>
      </c>
      <c r="R10" s="197">
        <f t="shared" si="5"/>
        <v>-0.64122819969445821</v>
      </c>
    </row>
    <row r="11" spans="1:82" s="178" customFormat="1" ht="15.75" x14ac:dyDescent="0.25">
      <c r="B11" s="178" t="s">
        <v>5</v>
      </c>
      <c r="C11" s="191"/>
      <c r="D11" s="192"/>
      <c r="E11" s="191">
        <f>'GF-DETAIL'!L67</f>
        <v>78687.319999999992</v>
      </c>
      <c r="F11" s="191">
        <f>'GF-DETAIL'!S67</f>
        <v>697903.09000000008</v>
      </c>
      <c r="G11" s="191"/>
      <c r="H11" s="327">
        <f t="shared" si="0"/>
        <v>638700</v>
      </c>
      <c r="I11" s="319">
        <f t="shared" si="1"/>
        <v>59203.090000000084</v>
      </c>
      <c r="J11" s="328">
        <f t="shared" si="2"/>
        <v>1.0926931110067326</v>
      </c>
      <c r="K11" s="193"/>
      <c r="L11" s="194">
        <f>'GF-DETAIL'!T67</f>
        <v>1277400</v>
      </c>
      <c r="M11" s="319">
        <f t="shared" si="3"/>
        <v>-579496.90999999992</v>
      </c>
      <c r="N11" s="322">
        <f t="shared" si="4"/>
        <v>0.5463465555033663</v>
      </c>
      <c r="O11" s="195"/>
      <c r="P11" s="194">
        <f>'GF-DETAIL'!D67</f>
        <v>1849719.42</v>
      </c>
      <c r="Q11" s="196">
        <f t="shared" si="6"/>
        <v>-1151816.3299999998</v>
      </c>
      <c r="R11" s="197">
        <f t="shared" si="5"/>
        <v>-0.62269786300886643</v>
      </c>
      <c r="V11" s="199"/>
    </row>
    <row r="12" spans="1:82" s="178" customFormat="1" ht="15.75" x14ac:dyDescent="0.25">
      <c r="B12" s="178" t="s">
        <v>6</v>
      </c>
      <c r="C12" s="191"/>
      <c r="D12" s="192"/>
      <c r="E12" s="191">
        <f>'GF-DETAIL'!L75</f>
        <v>26503.54</v>
      </c>
      <c r="F12" s="191">
        <f>'GF-DETAIL'!S75</f>
        <v>231199.85000000003</v>
      </c>
      <c r="G12" s="191"/>
      <c r="H12" s="327">
        <f t="shared" si="0"/>
        <v>200250</v>
      </c>
      <c r="I12" s="319">
        <f t="shared" si="1"/>
        <v>30949.850000000035</v>
      </c>
      <c r="J12" s="328">
        <f t="shared" si="2"/>
        <v>1.1545560549313361</v>
      </c>
      <c r="K12" s="193"/>
      <c r="L12" s="194">
        <f>'GF-DETAIL'!T75</f>
        <v>400500</v>
      </c>
      <c r="M12" s="319">
        <f t="shared" si="3"/>
        <v>-169300.14999999997</v>
      </c>
      <c r="N12" s="322">
        <f t="shared" si="4"/>
        <v>0.57727802746566803</v>
      </c>
      <c r="O12" s="195"/>
      <c r="P12" s="194">
        <f>'GF-DETAIL'!D75</f>
        <v>267527.25</v>
      </c>
      <c r="Q12" s="196">
        <f t="shared" si="6"/>
        <v>-36327.399999999965</v>
      </c>
      <c r="R12" s="197">
        <f t="shared" si="5"/>
        <v>-0.13578953172060029</v>
      </c>
      <c r="V12" s="199"/>
    </row>
    <row r="13" spans="1:82" s="178" customFormat="1" ht="15.75" x14ac:dyDescent="0.25">
      <c r="B13" s="178" t="s">
        <v>4</v>
      </c>
      <c r="C13" s="191"/>
      <c r="D13" s="192"/>
      <c r="E13" s="191">
        <f>'GF-DETAIL'!L78</f>
        <v>0</v>
      </c>
      <c r="F13" s="191">
        <f>'GF-DETAIL'!S78</f>
        <v>1664.53</v>
      </c>
      <c r="G13" s="191"/>
      <c r="H13" s="327">
        <f t="shared" si="0"/>
        <v>4500</v>
      </c>
      <c r="I13" s="319">
        <f t="shared" si="1"/>
        <v>-2835.4700000000003</v>
      </c>
      <c r="J13" s="328">
        <f t="shared" si="2"/>
        <v>0.36989555555555553</v>
      </c>
      <c r="K13" s="193"/>
      <c r="L13" s="194">
        <f>'GF-DETAIL'!T78</f>
        <v>9000</v>
      </c>
      <c r="M13" s="319">
        <f t="shared" si="3"/>
        <v>-7335.47</v>
      </c>
      <c r="N13" s="322">
        <f t="shared" si="4"/>
        <v>0.18494777777777777</v>
      </c>
      <c r="O13" s="195"/>
      <c r="P13" s="194">
        <f>'GF-DETAIL'!D78</f>
        <v>8804.32</v>
      </c>
      <c r="Q13" s="196">
        <f t="shared" si="6"/>
        <v>-7139.79</v>
      </c>
      <c r="R13" s="197">
        <f t="shared" si="5"/>
        <v>-0.81094167408726625</v>
      </c>
      <c r="V13" s="199"/>
    </row>
    <row r="14" spans="1:82" s="178" customFormat="1" ht="15.75" x14ac:dyDescent="0.25">
      <c r="B14" s="178" t="s">
        <v>7</v>
      </c>
      <c r="C14" s="191"/>
      <c r="D14" s="192"/>
      <c r="E14" s="191">
        <f>'GF-DETAIL'!L91</f>
        <v>4653.08</v>
      </c>
      <c r="F14" s="191">
        <f>'GF-DETAIL'!S91</f>
        <v>70670.34</v>
      </c>
      <c r="G14" s="191"/>
      <c r="H14" s="327">
        <f t="shared" si="0"/>
        <v>198375</v>
      </c>
      <c r="I14" s="319">
        <f t="shared" si="1"/>
        <v>-127704.66</v>
      </c>
      <c r="J14" s="328">
        <f t="shared" si="2"/>
        <v>0.35624620037807181</v>
      </c>
      <c r="K14" s="193"/>
      <c r="L14" s="194">
        <f>'GF-DETAIL'!T91</f>
        <v>396750</v>
      </c>
      <c r="M14" s="319">
        <f t="shared" si="3"/>
        <v>-326079.66000000003</v>
      </c>
      <c r="N14" s="322">
        <f t="shared" si="4"/>
        <v>0.1781231001890359</v>
      </c>
      <c r="O14" s="195"/>
      <c r="P14" s="194">
        <f>'GF-DETAIL'!D91</f>
        <v>1048834.07</v>
      </c>
      <c r="Q14" s="196">
        <f t="shared" si="6"/>
        <v>-978163.7300000001</v>
      </c>
      <c r="R14" s="197">
        <f t="shared" si="5"/>
        <v>-0.9326200949974861</v>
      </c>
      <c r="V14" s="199"/>
    </row>
    <row r="15" spans="1:82" s="178" customFormat="1" ht="15.75" x14ac:dyDescent="0.25">
      <c r="B15" s="178" t="s">
        <v>8</v>
      </c>
      <c r="C15" s="191"/>
      <c r="D15" s="192"/>
      <c r="E15" s="191">
        <f>'GF-DETAIL'!L94</f>
        <v>0</v>
      </c>
      <c r="F15" s="191">
        <f>'GF-DETAIL'!S94</f>
        <v>0</v>
      </c>
      <c r="G15" s="191"/>
      <c r="H15" s="327">
        <f t="shared" si="0"/>
        <v>136212.5</v>
      </c>
      <c r="I15" s="319">
        <f t="shared" si="1"/>
        <v>-136212.5</v>
      </c>
      <c r="J15" s="328">
        <f t="shared" si="2"/>
        <v>0</v>
      </c>
      <c r="K15" s="193"/>
      <c r="L15" s="194">
        <f>'GF-DETAIL'!T94</f>
        <v>272425</v>
      </c>
      <c r="M15" s="319">
        <f t="shared" si="3"/>
        <v>-272425</v>
      </c>
      <c r="N15" s="322">
        <f t="shared" si="4"/>
        <v>0</v>
      </c>
      <c r="O15" s="195"/>
      <c r="P15" s="194">
        <f>'GF-DETAIL'!D94</f>
        <v>279179.65999999997</v>
      </c>
      <c r="Q15" s="196">
        <f t="shared" si="6"/>
        <v>-279179.65999999997</v>
      </c>
      <c r="R15" s="200">
        <f t="shared" si="5"/>
        <v>-1</v>
      </c>
    </row>
    <row r="16" spans="1:82" s="202" customFormat="1" ht="16.5" thickBot="1" x14ac:dyDescent="0.3">
      <c r="A16" s="201" t="s">
        <v>11</v>
      </c>
      <c r="C16" s="203"/>
      <c r="D16" s="203"/>
      <c r="E16" s="204">
        <f>SUM(E7:E15)</f>
        <v>769229.61199999996</v>
      </c>
      <c r="F16" s="204">
        <f>SUM(F7:F15)</f>
        <v>6789368.8820000002</v>
      </c>
      <c r="G16" s="204"/>
      <c r="H16" s="329">
        <f>SUM(H7:H15)</f>
        <v>7799277.835</v>
      </c>
      <c r="I16" s="320">
        <f>SUM(I7:I15)</f>
        <v>-1009908.9529999999</v>
      </c>
      <c r="J16" s="330">
        <f t="shared" si="2"/>
        <v>0.87051250457216212</v>
      </c>
      <c r="K16" s="204"/>
      <c r="L16" s="205">
        <f>SUM(L7:L15)</f>
        <v>15598555.67</v>
      </c>
      <c r="M16" s="323">
        <f>+F16-L16</f>
        <v>-8809186.7879999988</v>
      </c>
      <c r="N16" s="324">
        <f>F16/L16</f>
        <v>0.43525625228608106</v>
      </c>
      <c r="O16" s="206"/>
      <c r="P16" s="205">
        <f>SUM(P7:P15)</f>
        <v>15963968.710000001</v>
      </c>
      <c r="Q16" s="207">
        <f>F16-P16</f>
        <v>-9174599.8280000016</v>
      </c>
      <c r="R16" s="208">
        <f>+Q16/P16</f>
        <v>-0.57470670324309359</v>
      </c>
      <c r="T16" s="253"/>
      <c r="U16" s="254"/>
    </row>
    <row r="17" spans="1:22" ht="15.75" x14ac:dyDescent="0.25">
      <c r="C17" s="169"/>
      <c r="F17" s="209"/>
      <c r="G17" s="209"/>
      <c r="H17" s="331"/>
      <c r="I17" s="332"/>
      <c r="J17" s="333"/>
      <c r="L17" s="210"/>
      <c r="M17" s="325"/>
      <c r="N17" s="326"/>
      <c r="O17" s="212"/>
      <c r="P17" s="213"/>
      <c r="Q17" s="214"/>
      <c r="R17" s="214"/>
      <c r="T17" s="155"/>
    </row>
    <row r="18" spans="1:22" ht="15.75" x14ac:dyDescent="0.25">
      <c r="A18" s="190" t="s">
        <v>12</v>
      </c>
      <c r="B18" s="215" t="s">
        <v>851</v>
      </c>
      <c r="C18" s="216"/>
      <c r="D18" s="217"/>
      <c r="E18" s="217">
        <f>'GF-DETAIL'!L107+'GF-DETAIL'!L130</f>
        <v>12434.18</v>
      </c>
      <c r="F18" s="217">
        <f>'GF-DETAIL'!S107+'GF-DETAIL'!S130</f>
        <v>74534.94</v>
      </c>
      <c r="G18" s="217"/>
      <c r="H18" s="334">
        <f>L18/12*6</f>
        <v>72933.625</v>
      </c>
      <c r="I18" s="335">
        <f>H18-F18</f>
        <v>-1601.3150000000023</v>
      </c>
      <c r="J18" s="336">
        <f t="shared" si="2"/>
        <v>1.0219557851402561</v>
      </c>
      <c r="K18" s="218"/>
      <c r="L18" s="219">
        <f>'GF-DETAIL'!T107+'GF-DETAIL'!T130</f>
        <v>145867.25</v>
      </c>
      <c r="M18" s="321">
        <f>+L18-F18</f>
        <v>71332.31</v>
      </c>
      <c r="N18" s="322">
        <f>F18/L18</f>
        <v>0.51097789257012804</v>
      </c>
      <c r="O18" s="221"/>
      <c r="P18" s="219">
        <f>'GF-DETAIL'!D107+'GF-DETAIL'!D130</f>
        <v>148239.07999999999</v>
      </c>
      <c r="Q18" s="220">
        <f>+P18-F18</f>
        <v>73704.139999999985</v>
      </c>
      <c r="R18" s="197">
        <f>+Q18/P18</f>
        <v>0.49719776998076343</v>
      </c>
      <c r="T18" s="253"/>
      <c r="U18" s="254"/>
    </row>
    <row r="19" spans="1:22" ht="15.75" x14ac:dyDescent="0.25">
      <c r="A19" s="190"/>
      <c r="B19" s="215" t="s">
        <v>849</v>
      </c>
      <c r="C19" s="216"/>
      <c r="D19" s="217"/>
      <c r="E19" s="217">
        <f>'GF-DETAIL'!L145-E18</f>
        <v>37971.03</v>
      </c>
      <c r="F19" s="217">
        <f>'GF-DETAIL'!S145-F18</f>
        <v>289514.73712112708</v>
      </c>
      <c r="G19" s="217"/>
      <c r="H19" s="334">
        <f t="shared" ref="H19:H35" si="7">L19/12*6</f>
        <v>295806.68</v>
      </c>
      <c r="I19" s="335">
        <f t="shared" ref="I19:I35" si="8">H19-F19</f>
        <v>6291.9428788729128</v>
      </c>
      <c r="J19" s="336">
        <f t="shared" si="2"/>
        <v>0.97872954431295156</v>
      </c>
      <c r="K19" s="218"/>
      <c r="L19" s="219">
        <f>'GF-DETAIL'!T145-L18</f>
        <v>591613.36</v>
      </c>
      <c r="M19" s="321">
        <f>+L19-F19</f>
        <v>302098.62287887291</v>
      </c>
      <c r="N19" s="322">
        <f>F19/L19</f>
        <v>0.48936477215647578</v>
      </c>
      <c r="O19" s="221"/>
      <c r="P19" s="219">
        <f>'GF-DETAIL'!D145-P18</f>
        <v>793794.37</v>
      </c>
      <c r="Q19" s="220">
        <f t="shared" ref="Q19:Q35" si="9">+P19-F19</f>
        <v>504279.63287887292</v>
      </c>
      <c r="R19" s="197">
        <f t="shared" ref="R19:R35" si="10">+Q19/P19</f>
        <v>0.63527741180486441</v>
      </c>
      <c r="T19" s="253"/>
      <c r="U19" s="254"/>
    </row>
    <row r="20" spans="1:22" s="223" customFormat="1" ht="15.75" x14ac:dyDescent="0.25">
      <c r="A20" s="190"/>
      <c r="B20" s="215" t="s">
        <v>852</v>
      </c>
      <c r="C20" s="216"/>
      <c r="D20" s="217"/>
      <c r="E20" s="217">
        <f>'GF-DETAIL'!L152</f>
        <v>1840</v>
      </c>
      <c r="F20" s="217">
        <f>'GF-DETAIL'!S152</f>
        <v>12645</v>
      </c>
      <c r="G20" s="217"/>
      <c r="H20" s="334">
        <f t="shared" si="7"/>
        <v>13800</v>
      </c>
      <c r="I20" s="335">
        <f t="shared" si="8"/>
        <v>1155</v>
      </c>
      <c r="J20" s="336">
        <f t="shared" si="2"/>
        <v>0.91630434782608694</v>
      </c>
      <c r="K20" s="218"/>
      <c r="L20" s="219">
        <f>'GF-DETAIL'!T152</f>
        <v>27600</v>
      </c>
      <c r="M20" s="321">
        <f t="shared" ref="M20:M34" si="11">+L20-F20</f>
        <v>14955</v>
      </c>
      <c r="N20" s="322">
        <f t="shared" ref="N20:N34" si="12">F20/L20</f>
        <v>0.45815217391304347</v>
      </c>
      <c r="O20" s="221"/>
      <c r="P20" s="219">
        <f>'GF-DETAIL'!D152</f>
        <v>23450</v>
      </c>
      <c r="Q20" s="220">
        <f t="shared" si="9"/>
        <v>10805</v>
      </c>
      <c r="R20" s="197">
        <f t="shared" si="10"/>
        <v>0.46076759061833689</v>
      </c>
      <c r="S20" s="154"/>
      <c r="T20" s="253"/>
      <c r="U20" s="254"/>
    </row>
    <row r="21" spans="1:22" s="223" customFormat="1" ht="15.75" x14ac:dyDescent="0.25">
      <c r="A21" s="190"/>
      <c r="B21" s="215" t="s">
        <v>850</v>
      </c>
      <c r="C21" s="216"/>
      <c r="D21" s="217"/>
      <c r="E21" s="217">
        <f>'GF-DETAIL'!L169-E20</f>
        <v>1574.0699999999997</v>
      </c>
      <c r="F21" s="217">
        <f>'GF-DETAIL'!S169-F20</f>
        <v>29319.148983398089</v>
      </c>
      <c r="G21" s="217"/>
      <c r="H21" s="334">
        <f t="shared" si="7"/>
        <v>11302.5</v>
      </c>
      <c r="I21" s="335">
        <f t="shared" si="8"/>
        <v>-18016.648983398089</v>
      </c>
      <c r="J21" s="336">
        <f t="shared" si="2"/>
        <v>2.5940410513955396</v>
      </c>
      <c r="K21" s="218"/>
      <c r="L21" s="219">
        <f>'GF-DETAIL'!T169-L20</f>
        <v>22605</v>
      </c>
      <c r="M21" s="321">
        <f t="shared" ref="M21" si="13">+L21-F21</f>
        <v>-6714.1489833980886</v>
      </c>
      <c r="N21" s="322">
        <f t="shared" ref="N21" si="14">F21/L21</f>
        <v>1.2970205256977698</v>
      </c>
      <c r="O21" s="221"/>
      <c r="P21" s="219">
        <f>'GF-DETAIL'!D169-P20</f>
        <v>24712.710000000006</v>
      </c>
      <c r="Q21" s="220">
        <f t="shared" si="9"/>
        <v>-4606.4389833980822</v>
      </c>
      <c r="R21" s="197">
        <f t="shared" si="10"/>
        <v>-0.18639958885116528</v>
      </c>
      <c r="S21" s="154"/>
      <c r="T21" s="253"/>
      <c r="U21" s="254"/>
    </row>
    <row r="22" spans="1:22" ht="15.75" x14ac:dyDescent="0.25">
      <c r="A22" s="224"/>
      <c r="B22" s="215" t="s">
        <v>10</v>
      </c>
      <c r="C22" s="216"/>
      <c r="D22" s="217"/>
      <c r="E22" s="217">
        <f>'GF-DETAIL'!L188</f>
        <v>945.58</v>
      </c>
      <c r="F22" s="217">
        <f>'GF-DETAIL'!S188</f>
        <v>12077.33</v>
      </c>
      <c r="G22" s="217"/>
      <c r="H22" s="334">
        <f t="shared" si="7"/>
        <v>7650</v>
      </c>
      <c r="I22" s="335">
        <f t="shared" si="8"/>
        <v>-4427.33</v>
      </c>
      <c r="J22" s="336">
        <f t="shared" si="2"/>
        <v>1.5787359477124183</v>
      </c>
      <c r="K22" s="218"/>
      <c r="L22" s="219">
        <f>'GF-DETAIL'!T188</f>
        <v>15300</v>
      </c>
      <c r="M22" s="321">
        <f t="shared" si="11"/>
        <v>3222.67</v>
      </c>
      <c r="N22" s="322">
        <f t="shared" si="12"/>
        <v>0.78936797385620916</v>
      </c>
      <c r="O22" s="221"/>
      <c r="P22" s="219">
        <f>'GF-DETAIL'!D188</f>
        <v>29552.23</v>
      </c>
      <c r="Q22" s="220">
        <f t="shared" si="9"/>
        <v>17474.900000000001</v>
      </c>
      <c r="R22" s="197">
        <f t="shared" si="10"/>
        <v>0.5913225499395478</v>
      </c>
      <c r="T22" s="253"/>
      <c r="U22" s="254"/>
    </row>
    <row r="23" spans="1:22" ht="15.75" x14ac:dyDescent="0.25">
      <c r="A23" s="224"/>
      <c r="B23" s="215" t="s">
        <v>853</v>
      </c>
      <c r="C23" s="216"/>
      <c r="D23" s="217"/>
      <c r="E23" s="217">
        <f>'GF-DETAIL'!L200+'GF-DETAIL'!L229</f>
        <v>14034.28</v>
      </c>
      <c r="F23" s="217">
        <f>'GF-DETAIL'!S200+'GF-DETAIL'!S229</f>
        <v>113848.97</v>
      </c>
      <c r="G23" s="217"/>
      <c r="H23" s="334">
        <f t="shared" si="7"/>
        <v>114769.66999999998</v>
      </c>
      <c r="I23" s="335">
        <f t="shared" si="8"/>
        <v>920.69999999998254</v>
      </c>
      <c r="J23" s="336">
        <f t="shared" si="2"/>
        <v>0.99197784571481318</v>
      </c>
      <c r="K23" s="218"/>
      <c r="L23" s="219">
        <f>'GF-DETAIL'!T200+'GF-DETAIL'!T229</f>
        <v>229539.34</v>
      </c>
      <c r="M23" s="321">
        <f t="shared" si="11"/>
        <v>115690.37</v>
      </c>
      <c r="N23" s="322">
        <f t="shared" si="12"/>
        <v>0.49598892285740648</v>
      </c>
      <c r="O23" s="221"/>
      <c r="P23" s="219">
        <f>'GF-DETAIL'!D200+'GF-DETAIL'!D229</f>
        <v>176986.37</v>
      </c>
      <c r="Q23" s="220">
        <f t="shared" si="9"/>
        <v>63137.399999999994</v>
      </c>
      <c r="R23" s="197">
        <f t="shared" si="10"/>
        <v>0.35673594525951347</v>
      </c>
      <c r="T23" s="253"/>
      <c r="U23" s="254"/>
    </row>
    <row r="24" spans="1:22" ht="15.75" x14ac:dyDescent="0.25">
      <c r="A24" s="224"/>
      <c r="B24" s="215" t="s">
        <v>854</v>
      </c>
      <c r="C24" s="216"/>
      <c r="D24" s="217"/>
      <c r="E24" s="217">
        <f>'GF-DETAIL'!L238-E23</f>
        <v>61455.47</v>
      </c>
      <c r="F24" s="217">
        <f>'GF-DETAIL'!S238-F23</f>
        <v>123493.28641698099</v>
      </c>
      <c r="G24" s="217"/>
      <c r="H24" s="334">
        <f t="shared" si="7"/>
        <v>118570.61</v>
      </c>
      <c r="I24" s="335">
        <f t="shared" si="8"/>
        <v>-4922.6764169809903</v>
      </c>
      <c r="J24" s="336">
        <f t="shared" si="2"/>
        <v>1.0415168347112407</v>
      </c>
      <c r="K24" s="218"/>
      <c r="L24" s="219">
        <f>'GF-DETAIL'!T238-L23</f>
        <v>237141.22</v>
      </c>
      <c r="M24" s="321">
        <f t="shared" ref="M24" si="15">+L24-F24</f>
        <v>113647.93358301901</v>
      </c>
      <c r="N24" s="322">
        <f t="shared" ref="N24" si="16">F24/L24</f>
        <v>0.52075841735562034</v>
      </c>
      <c r="O24" s="221"/>
      <c r="P24" s="219">
        <f>'GF-DETAIL'!D238-P23</f>
        <v>-118395.91999999998</v>
      </c>
      <c r="Q24" s="220">
        <f t="shared" si="9"/>
        <v>-241889.20641698097</v>
      </c>
      <c r="R24" s="197">
        <f t="shared" si="10"/>
        <v>2.0430535648270736</v>
      </c>
      <c r="T24" s="253"/>
      <c r="U24" s="254"/>
    </row>
    <row r="25" spans="1:22" ht="15.75" x14ac:dyDescent="0.25">
      <c r="A25" s="224"/>
      <c r="B25" s="215" t="s">
        <v>855</v>
      </c>
      <c r="C25" s="216"/>
      <c r="D25" s="217"/>
      <c r="E25" s="217">
        <f>'GF-DETAIL'!L243+'GF-DETAIL'!L258</f>
        <v>4412.92</v>
      </c>
      <c r="F25" s="217">
        <f>'GF-DETAIL'!S243+'GF-DETAIL'!S258</f>
        <v>26881.37</v>
      </c>
      <c r="G25" s="217"/>
      <c r="H25" s="334">
        <f t="shared" si="7"/>
        <v>24797.32</v>
      </c>
      <c r="I25" s="335">
        <f t="shared" si="8"/>
        <v>-2084.0499999999993</v>
      </c>
      <c r="J25" s="336">
        <f t="shared" si="2"/>
        <v>1.0840433562981806</v>
      </c>
      <c r="K25" s="218"/>
      <c r="L25" s="219">
        <f>'GF-DETAIL'!T243+'GF-DETAIL'!T258</f>
        <v>49594.64</v>
      </c>
      <c r="M25" s="321">
        <f t="shared" si="11"/>
        <v>22713.27</v>
      </c>
      <c r="N25" s="322">
        <f t="shared" si="12"/>
        <v>0.5420216781490903</v>
      </c>
      <c r="O25" s="221"/>
      <c r="P25" s="219">
        <f>'GF-DETAIL'!D243+'GF-DETAIL'!D258</f>
        <v>54367.72</v>
      </c>
      <c r="Q25" s="220">
        <f t="shared" si="9"/>
        <v>27486.350000000002</v>
      </c>
      <c r="R25" s="197">
        <f t="shared" si="10"/>
        <v>0.505563779389682</v>
      </c>
      <c r="T25" s="253"/>
      <c r="U25" s="254"/>
      <c r="V25" s="222"/>
    </row>
    <row r="26" spans="1:22" ht="15.75" x14ac:dyDescent="0.25">
      <c r="A26" s="224"/>
      <c r="B26" s="215" t="s">
        <v>856</v>
      </c>
      <c r="C26" s="216"/>
      <c r="D26" s="217"/>
      <c r="E26" s="217">
        <f>'GF-DETAIL'!L264-E25</f>
        <v>7662.27</v>
      </c>
      <c r="F26" s="217">
        <f>'GF-DETAIL'!S264-F25</f>
        <v>50139.754869556869</v>
      </c>
      <c r="G26" s="217"/>
      <c r="H26" s="334">
        <f t="shared" si="7"/>
        <v>33509.014999999999</v>
      </c>
      <c r="I26" s="335">
        <f t="shared" si="8"/>
        <v>-16630.73986955687</v>
      </c>
      <c r="J26" s="336">
        <f t="shared" si="2"/>
        <v>1.4963064378214899</v>
      </c>
      <c r="K26" s="218"/>
      <c r="L26" s="219">
        <f>'GF-DETAIL'!T264-L25</f>
        <v>67018.03</v>
      </c>
      <c r="M26" s="321">
        <f t="shared" ref="M26" si="17">+L26-F26</f>
        <v>16878.275130443129</v>
      </c>
      <c r="N26" s="322">
        <f t="shared" ref="N26" si="18">F26/L26</f>
        <v>0.74815321891074493</v>
      </c>
      <c r="O26" s="221"/>
      <c r="P26" s="219">
        <f>'GF-DETAIL'!D264-P25</f>
        <v>72036.67</v>
      </c>
      <c r="Q26" s="220">
        <f t="shared" si="9"/>
        <v>21896.915130443129</v>
      </c>
      <c r="R26" s="197">
        <f t="shared" si="10"/>
        <v>0.30396900815158628</v>
      </c>
      <c r="T26" s="253"/>
      <c r="U26" s="254"/>
      <c r="V26" s="222"/>
    </row>
    <row r="27" spans="1:22" ht="15.75" x14ac:dyDescent="0.25">
      <c r="A27" s="224"/>
      <c r="B27" s="215" t="s">
        <v>857</v>
      </c>
      <c r="C27" s="216"/>
      <c r="D27" s="217"/>
      <c r="E27" s="217">
        <f>'GF-DETAIL'!L276+'GF-DETAIL'!L304</f>
        <v>20649.739999999998</v>
      </c>
      <c r="F27" s="217">
        <f>'GF-DETAIL'!S276+'GF-DETAIL'!S304</f>
        <v>124824.53</v>
      </c>
      <c r="G27" s="217"/>
      <c r="H27" s="334">
        <f t="shared" si="7"/>
        <v>132317.37</v>
      </c>
      <c r="I27" s="335">
        <f t="shared" si="8"/>
        <v>7492.8399999999965</v>
      </c>
      <c r="J27" s="336">
        <f t="shared" si="2"/>
        <v>0.94337221182676168</v>
      </c>
      <c r="K27" s="218"/>
      <c r="L27" s="219">
        <f>'GF-DETAIL'!T276+'GF-DETAIL'!T304</f>
        <v>264634.74</v>
      </c>
      <c r="M27" s="321">
        <f t="shared" si="11"/>
        <v>139810.21</v>
      </c>
      <c r="N27" s="322">
        <f t="shared" si="12"/>
        <v>0.47168610591338084</v>
      </c>
      <c r="O27" s="221"/>
      <c r="P27" s="219">
        <f>'GF-DETAIL'!D276+'GF-DETAIL'!D304</f>
        <v>240490.57</v>
      </c>
      <c r="Q27" s="220">
        <f t="shared" si="9"/>
        <v>115666.04000000001</v>
      </c>
      <c r="R27" s="197">
        <f t="shared" si="10"/>
        <v>0.48095873364182223</v>
      </c>
      <c r="T27" s="253"/>
      <c r="U27" s="254"/>
    </row>
    <row r="28" spans="1:22" ht="15.75" x14ac:dyDescent="0.25">
      <c r="A28" s="224"/>
      <c r="B28" s="215" t="s">
        <v>858</v>
      </c>
      <c r="C28" s="216"/>
      <c r="D28" s="217"/>
      <c r="E28" s="217">
        <f>'GF-DETAIL'!L319-E27</f>
        <v>3331.7200000000012</v>
      </c>
      <c r="F28" s="217">
        <f>'GF-DETAIL'!S319-F27</f>
        <v>91702.822769341816</v>
      </c>
      <c r="G28" s="217"/>
      <c r="H28" s="334">
        <f t="shared" si="7"/>
        <v>85452</v>
      </c>
      <c r="I28" s="335">
        <f t="shared" si="8"/>
        <v>-6250.8227693418157</v>
      </c>
      <c r="J28" s="336">
        <f t="shared" si="2"/>
        <v>1.0731501049635095</v>
      </c>
      <c r="K28" s="218"/>
      <c r="L28" s="219">
        <f>'GF-DETAIL'!T319-L27</f>
        <v>170904</v>
      </c>
      <c r="M28" s="321">
        <f t="shared" ref="M28" si="19">+L28-F28</f>
        <v>79201.177230658184</v>
      </c>
      <c r="N28" s="322">
        <f t="shared" ref="N28" si="20">F28/L28</f>
        <v>0.53657505248175474</v>
      </c>
      <c r="O28" s="221"/>
      <c r="P28" s="219">
        <f>'GF-DETAIL'!D319-P27</f>
        <v>186559.64000000007</v>
      </c>
      <c r="Q28" s="220">
        <f t="shared" si="9"/>
        <v>94856.817230658256</v>
      </c>
      <c r="R28" s="197">
        <f t="shared" si="10"/>
        <v>0.50845304606429464</v>
      </c>
      <c r="T28" s="253"/>
      <c r="U28" s="254"/>
    </row>
    <row r="29" spans="1:22" ht="15.75" x14ac:dyDescent="0.25">
      <c r="A29" s="224"/>
      <c r="B29" s="215" t="s">
        <v>859</v>
      </c>
      <c r="C29" s="216"/>
      <c r="D29" s="217"/>
      <c r="E29" s="217">
        <f>'GF-DETAIL'!L349+'GF-DETAIL'!L381</f>
        <v>300657.38999999996</v>
      </c>
      <c r="F29" s="217">
        <f>'GF-DETAIL'!S349+'GF-DETAIL'!S381</f>
        <v>1927224.9099999997</v>
      </c>
      <c r="G29" s="217"/>
      <c r="H29" s="334">
        <f t="shared" si="7"/>
        <v>2387172.5300000003</v>
      </c>
      <c r="I29" s="335">
        <f t="shared" si="8"/>
        <v>459947.62000000058</v>
      </c>
      <c r="J29" s="336">
        <f t="shared" si="2"/>
        <v>0.80732535490428059</v>
      </c>
      <c r="K29" s="218"/>
      <c r="L29" s="219">
        <f>'GF-DETAIL'!T349+'GF-DETAIL'!T381</f>
        <v>4774345.0600000005</v>
      </c>
      <c r="M29" s="321">
        <f t="shared" si="11"/>
        <v>2847120.1500000008</v>
      </c>
      <c r="N29" s="322">
        <f t="shared" si="12"/>
        <v>0.40366267745214029</v>
      </c>
      <c r="O29" s="221"/>
      <c r="P29" s="219">
        <f>'GF-DETAIL'!D349+'GF-DETAIL'!D381</f>
        <v>5066902.4099999992</v>
      </c>
      <c r="Q29" s="220">
        <f t="shared" si="9"/>
        <v>3139677.4999999995</v>
      </c>
      <c r="R29" s="197">
        <f t="shared" si="10"/>
        <v>0.61964435979733035</v>
      </c>
      <c r="T29" s="253"/>
      <c r="U29" s="254"/>
    </row>
    <row r="30" spans="1:22" ht="15.75" x14ac:dyDescent="0.25">
      <c r="A30" s="224"/>
      <c r="B30" s="215" t="s">
        <v>860</v>
      </c>
      <c r="C30" s="216"/>
      <c r="D30" s="217"/>
      <c r="E30" s="217">
        <f>'GF-DETAIL'!L410-E29</f>
        <v>17467.559999999998</v>
      </c>
      <c r="F30" s="217">
        <f>'GF-DETAIL'!S410-F29</f>
        <v>297986.91055249562</v>
      </c>
      <c r="G30" s="217"/>
      <c r="H30" s="334">
        <f t="shared" si="7"/>
        <v>377876.20999999996</v>
      </c>
      <c r="I30" s="335">
        <f t="shared" si="8"/>
        <v>79889.299447504338</v>
      </c>
      <c r="J30" s="336">
        <f t="shared" si="2"/>
        <v>0.78858341082783612</v>
      </c>
      <c r="K30" s="218"/>
      <c r="L30" s="219">
        <f>'GF-DETAIL'!T410-L29</f>
        <v>755752.41999999993</v>
      </c>
      <c r="M30" s="321">
        <f t="shared" ref="M30" si="21">+L30-F30</f>
        <v>457765.5094475043</v>
      </c>
      <c r="N30" s="322">
        <f t="shared" ref="N30" si="22">F30/L30</f>
        <v>0.39429170541391806</v>
      </c>
      <c r="O30" s="221"/>
      <c r="P30" s="219">
        <f>'GF-DETAIL'!D410-P29</f>
        <v>663448.14999999944</v>
      </c>
      <c r="Q30" s="220">
        <f t="shared" si="9"/>
        <v>365461.23944750382</v>
      </c>
      <c r="R30" s="197">
        <f t="shared" si="10"/>
        <v>0.55085124504078298</v>
      </c>
      <c r="T30" s="253"/>
      <c r="U30" s="254"/>
    </row>
    <row r="31" spans="1:22" ht="15.75" x14ac:dyDescent="0.25">
      <c r="A31" s="224"/>
      <c r="B31" s="215" t="s">
        <v>861</v>
      </c>
      <c r="C31" s="216"/>
      <c r="D31" s="217"/>
      <c r="E31" s="217">
        <f>'GF-DETAIL'!L451+'GF-DETAIL'!L485</f>
        <v>375254.50000000006</v>
      </c>
      <c r="F31" s="217">
        <f>'GF-DETAIL'!S451+'GF-DETAIL'!S485</f>
        <v>2348873.2700000005</v>
      </c>
      <c r="G31" s="217"/>
      <c r="H31" s="334">
        <f t="shared" si="7"/>
        <v>2648814.355</v>
      </c>
      <c r="I31" s="335">
        <f t="shared" si="8"/>
        <v>299941.0849999995</v>
      </c>
      <c r="J31" s="336">
        <f t="shared" si="2"/>
        <v>0.88676402163336976</v>
      </c>
      <c r="K31" s="218"/>
      <c r="L31" s="219">
        <f>'GF-DETAIL'!T451+'GF-DETAIL'!T485</f>
        <v>5297628.71</v>
      </c>
      <c r="M31" s="321">
        <f t="shared" si="11"/>
        <v>2948755.4399999995</v>
      </c>
      <c r="N31" s="322">
        <f t="shared" si="12"/>
        <v>0.44338201081668488</v>
      </c>
      <c r="O31" s="221"/>
      <c r="P31" s="219">
        <f>'GF-DETAIL'!D451+'GF-DETAIL'!D485</f>
        <v>5486335.9299999997</v>
      </c>
      <c r="Q31" s="220">
        <f t="shared" si="9"/>
        <v>3137462.6599999992</v>
      </c>
      <c r="R31" s="197">
        <f t="shared" si="10"/>
        <v>0.57186849293058128</v>
      </c>
      <c r="T31" s="253"/>
      <c r="U31" s="254"/>
    </row>
    <row r="32" spans="1:22" ht="15.75" x14ac:dyDescent="0.25">
      <c r="A32" s="224"/>
      <c r="B32" s="215" t="s">
        <v>862</v>
      </c>
      <c r="C32" s="216"/>
      <c r="D32" s="217"/>
      <c r="E32" s="217">
        <f>'GF-DETAIL'!L517-E31</f>
        <v>37231.719999999972</v>
      </c>
      <c r="F32" s="217">
        <f>'GF-DETAIL'!S517-F31</f>
        <v>634105.18451649556</v>
      </c>
      <c r="G32" s="217"/>
      <c r="H32" s="334">
        <f t="shared" si="7"/>
        <v>551929.48499999987</v>
      </c>
      <c r="I32" s="335">
        <f t="shared" si="8"/>
        <v>-82175.69951649569</v>
      </c>
      <c r="J32" s="336">
        <f t="shared" si="2"/>
        <v>1.1488880405012167</v>
      </c>
      <c r="K32" s="218"/>
      <c r="L32" s="219">
        <f>'GF-DETAIL'!T517-L31</f>
        <v>1103858.9699999997</v>
      </c>
      <c r="M32" s="321">
        <f t="shared" ref="M32" si="23">+L32-F32</f>
        <v>469753.78548350418</v>
      </c>
      <c r="N32" s="322">
        <f t="shared" ref="N32" si="24">F32/L32</f>
        <v>0.57444402025060837</v>
      </c>
      <c r="O32" s="221"/>
      <c r="P32" s="219">
        <f>'GF-DETAIL'!D517-P31</f>
        <v>1062003.5899999999</v>
      </c>
      <c r="Q32" s="220">
        <f t="shared" si="9"/>
        <v>427898.40548350429</v>
      </c>
      <c r="R32" s="197">
        <f t="shared" si="10"/>
        <v>0.40291615726412405</v>
      </c>
      <c r="T32" s="253"/>
      <c r="U32" s="254"/>
    </row>
    <row r="33" spans="1:21" ht="15.75" x14ac:dyDescent="0.25">
      <c r="A33" s="224"/>
      <c r="B33" s="215" t="s">
        <v>54</v>
      </c>
      <c r="C33" s="216"/>
      <c r="D33" s="217"/>
      <c r="E33" s="217">
        <f>'GF-DETAIL'!L526</f>
        <v>293.40999999999997</v>
      </c>
      <c r="F33" s="217">
        <f>'GF-DETAIL'!S526</f>
        <v>943.2</v>
      </c>
      <c r="G33" s="217"/>
      <c r="H33" s="334">
        <f t="shared" si="7"/>
        <v>2080</v>
      </c>
      <c r="I33" s="335">
        <f t="shared" si="8"/>
        <v>1136.8</v>
      </c>
      <c r="J33" s="336">
        <f t="shared" si="2"/>
        <v>0.45346153846153847</v>
      </c>
      <c r="K33" s="218"/>
      <c r="L33" s="219">
        <f>'GF-DETAIL'!T526</f>
        <v>4160</v>
      </c>
      <c r="M33" s="321">
        <f t="shared" si="11"/>
        <v>3216.8</v>
      </c>
      <c r="N33" s="322">
        <f t="shared" si="12"/>
        <v>0.22673076923076924</v>
      </c>
      <c r="O33" s="221"/>
      <c r="P33" s="219">
        <f>'GF-DETAIL'!D526</f>
        <v>1956.92</v>
      </c>
      <c r="Q33" s="220">
        <f t="shared" si="9"/>
        <v>1013.72</v>
      </c>
      <c r="R33" s="197">
        <f t="shared" si="10"/>
        <v>0.51801811009136811</v>
      </c>
      <c r="T33" s="253"/>
      <c r="U33" s="254"/>
    </row>
    <row r="34" spans="1:21" ht="15.75" x14ac:dyDescent="0.25">
      <c r="A34" s="224"/>
      <c r="B34" s="215" t="s">
        <v>863</v>
      </c>
      <c r="C34" s="216"/>
      <c r="D34" s="217"/>
      <c r="E34" s="217">
        <f>'GF-DETAIL'!L545+'GF-DETAIL'!L578</f>
        <v>55777.79</v>
      </c>
      <c r="F34" s="217">
        <f>'GF-DETAIL'!S545+'GF-DETAIL'!S578</f>
        <v>353041.20333333325</v>
      </c>
      <c r="G34" s="217"/>
      <c r="H34" s="334">
        <f t="shared" si="7"/>
        <v>345762.17</v>
      </c>
      <c r="I34" s="335">
        <f t="shared" si="8"/>
        <v>-7279.0333333332674</v>
      </c>
      <c r="J34" s="336">
        <f t="shared" si="2"/>
        <v>1.0210521392011545</v>
      </c>
      <c r="K34" s="218"/>
      <c r="L34" s="219">
        <f>'GF-DETAIL'!T545+'GF-DETAIL'!T578</f>
        <v>691524.34</v>
      </c>
      <c r="M34" s="321">
        <f t="shared" si="11"/>
        <v>338483.13666666672</v>
      </c>
      <c r="N34" s="322">
        <f t="shared" si="12"/>
        <v>0.51052606960057723</v>
      </c>
      <c r="O34" s="221"/>
      <c r="P34" s="219">
        <f>'GF-DETAIL'!D545+'GF-DETAIL'!D578</f>
        <v>546013.62000000011</v>
      </c>
      <c r="Q34" s="220">
        <f t="shared" si="9"/>
        <v>192972.41666666686</v>
      </c>
      <c r="R34" s="197">
        <f t="shared" si="10"/>
        <v>0.35342051846008316</v>
      </c>
      <c r="T34" s="253"/>
      <c r="U34" s="254"/>
    </row>
    <row r="35" spans="1:21" ht="15.75" x14ac:dyDescent="0.25">
      <c r="A35" s="224"/>
      <c r="B35" s="215" t="s">
        <v>864</v>
      </c>
      <c r="C35" s="216"/>
      <c r="D35" s="217"/>
      <c r="E35" s="217">
        <f>'GF-DETAIL'!L609-E34-E33</f>
        <v>26343.230000000007</v>
      </c>
      <c r="F35" s="217">
        <f>'GF-DETAIL'!S609-F34-F33</f>
        <v>191468.45</v>
      </c>
      <c r="G35" s="217"/>
      <c r="H35" s="334">
        <f t="shared" si="7"/>
        <v>230651.52500000008</v>
      </c>
      <c r="I35" s="335">
        <f t="shared" si="8"/>
        <v>39183.07500000007</v>
      </c>
      <c r="J35" s="336">
        <f t="shared" si="2"/>
        <v>0.83012002630374959</v>
      </c>
      <c r="K35" s="218"/>
      <c r="L35" s="219">
        <f>'GF-DETAIL'!T609-L34-L33</f>
        <v>461303.05000000016</v>
      </c>
      <c r="M35" s="321">
        <f t="shared" ref="M35" si="25">+L35-F35</f>
        <v>269834.60000000015</v>
      </c>
      <c r="N35" s="322">
        <f t="shared" ref="N35" si="26">F35/L35</f>
        <v>0.4150600131518748</v>
      </c>
      <c r="O35" s="221"/>
      <c r="P35" s="219">
        <f>'GF-DETAIL'!D609-P34-P33</f>
        <v>812735.85999999952</v>
      </c>
      <c r="Q35" s="220">
        <f t="shared" si="9"/>
        <v>621267.40999999945</v>
      </c>
      <c r="R35" s="197">
        <f t="shared" si="10"/>
        <v>0.76441491089122093</v>
      </c>
      <c r="U35" s="222"/>
    </row>
    <row r="36" spans="1:21" s="202" customFormat="1" ht="16.5" thickBot="1" x14ac:dyDescent="0.3">
      <c r="A36" s="201" t="s">
        <v>13</v>
      </c>
      <c r="C36" s="203"/>
      <c r="D36" s="203"/>
      <c r="E36" s="204">
        <f>SUM(E18:E35)</f>
        <v>979336.86</v>
      </c>
      <c r="F36" s="204">
        <f>SUM(F18:F35)</f>
        <v>6702625.0185627285</v>
      </c>
      <c r="G36" s="204"/>
      <c r="H36" s="329">
        <f>SUM(H18:H35)</f>
        <v>7455195.0649999995</v>
      </c>
      <c r="I36" s="320">
        <f>SUM(I18:I35)</f>
        <v>752570.04643727082</v>
      </c>
      <c r="J36" s="337">
        <f t="shared" si="2"/>
        <v>0.89905427827497486</v>
      </c>
      <c r="K36" s="204"/>
      <c r="L36" s="205">
        <f>SUM(L18:L35)</f>
        <v>14910390.129999999</v>
      </c>
      <c r="M36" s="323">
        <f>SUM(M18:M34)</f>
        <v>7937930.5114372699</v>
      </c>
      <c r="N36" s="324">
        <f>F36/L36</f>
        <v>0.44952713913748743</v>
      </c>
      <c r="O36" s="206"/>
      <c r="P36" s="225">
        <f>SUM(P18:P35)</f>
        <v>15271189.919999998</v>
      </c>
      <c r="Q36" s="207">
        <f>SUM(Q18:Q34)</f>
        <v>7947297.4914372694</v>
      </c>
      <c r="R36" s="208">
        <f>+Q36/P36</f>
        <v>0.52041114890654638</v>
      </c>
    </row>
    <row r="37" spans="1:21" ht="15.75" x14ac:dyDescent="0.25">
      <c r="C37" s="169"/>
      <c r="E37" s="155"/>
      <c r="F37" s="209"/>
      <c r="G37" s="209"/>
      <c r="H37" s="209"/>
      <c r="I37" s="209"/>
      <c r="J37" s="209"/>
      <c r="L37" s="226"/>
      <c r="P37" s="228"/>
    </row>
    <row r="38" spans="1:21" ht="15.75" x14ac:dyDescent="0.25">
      <c r="C38" s="169"/>
      <c r="E38" s="155"/>
      <c r="F38" s="209"/>
      <c r="G38" s="209"/>
      <c r="H38" s="209"/>
      <c r="I38" s="209"/>
      <c r="J38" s="209"/>
      <c r="L38" s="226"/>
      <c r="P38" s="228"/>
    </row>
    <row r="39" spans="1:21" ht="15.75" x14ac:dyDescent="0.25">
      <c r="A39" s="229" t="s">
        <v>15</v>
      </c>
      <c r="C39" s="169"/>
      <c r="E39" s="230">
        <f>+E16-E36</f>
        <v>-210107.24800000002</v>
      </c>
      <c r="F39" s="230">
        <f>+F16-F36</f>
        <v>86743.863437271677</v>
      </c>
      <c r="G39" s="230"/>
      <c r="H39" s="230">
        <f>+H16-H36</f>
        <v>344082.77000000048</v>
      </c>
      <c r="I39" s="230">
        <f>I16+I36</f>
        <v>-257338.90656272904</v>
      </c>
      <c r="J39" s="230"/>
      <c r="K39" s="169"/>
      <c r="L39" s="231">
        <f>+L16-L36</f>
        <v>688165.54000000097</v>
      </c>
      <c r="M39" s="230"/>
      <c r="N39" s="232"/>
      <c r="P39" s="231">
        <f>+P16-P36</f>
        <v>692778.79000000283</v>
      </c>
      <c r="Q39" s="233"/>
    </row>
    <row r="40" spans="1:21" s="234" customFormat="1" ht="11.25" x14ac:dyDescent="0.2">
      <c r="F40" s="235"/>
      <c r="G40" s="235"/>
      <c r="H40" s="235"/>
      <c r="I40" s="235"/>
      <c r="J40" s="235"/>
      <c r="K40" s="236"/>
      <c r="L40" s="235"/>
      <c r="M40" s="237"/>
      <c r="N40" s="238"/>
      <c r="O40" s="237"/>
      <c r="P40" s="236"/>
      <c r="Q40" s="227"/>
      <c r="R40" s="227"/>
    </row>
    <row r="41" spans="1:21" s="234" customFormat="1" ht="15.75" x14ac:dyDescent="0.25">
      <c r="A41" s="229" t="s">
        <v>912</v>
      </c>
      <c r="B41" s="169"/>
      <c r="C41" s="169"/>
      <c r="D41" s="169"/>
      <c r="E41" s="169"/>
      <c r="F41" s="209">
        <f>P52</f>
        <v>5312819.7900000028</v>
      </c>
      <c r="G41" s="209"/>
      <c r="H41" s="209"/>
      <c r="I41" s="209"/>
      <c r="J41" s="209"/>
      <c r="K41" s="239"/>
      <c r="L41" s="240"/>
      <c r="M41" s="237"/>
      <c r="N41" s="255" t="s">
        <v>125</v>
      </c>
      <c r="O41" s="237"/>
      <c r="P41" s="253">
        <v>0</v>
      </c>
      <c r="Q41" s="227"/>
      <c r="R41" s="227"/>
    </row>
    <row r="42" spans="1:21" s="234" customFormat="1" ht="16.5" thickBot="1" x14ac:dyDescent="0.3">
      <c r="A42" s="229" t="s">
        <v>53</v>
      </c>
      <c r="B42" s="169"/>
      <c r="C42" s="169"/>
      <c r="D42" s="169"/>
      <c r="E42" s="169"/>
      <c r="F42" s="261">
        <f>F39+F41</f>
        <v>5399563.6534372745</v>
      </c>
      <c r="G42" s="253"/>
      <c r="H42" s="253"/>
      <c r="I42" s="253"/>
      <c r="J42" s="253"/>
      <c r="K42" s="169"/>
      <c r="L42" s="341"/>
      <c r="M42" s="227"/>
      <c r="N42" s="255" t="s">
        <v>126</v>
      </c>
      <c r="O42" s="227"/>
      <c r="P42" s="253">
        <v>0</v>
      </c>
      <c r="Q42" s="227"/>
      <c r="R42" s="227"/>
    </row>
    <row r="43" spans="1:21" s="234" customFormat="1" ht="17.25" hidden="1" thickTop="1" thickBot="1" x14ac:dyDescent="0.3">
      <c r="A43" s="22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241"/>
      <c r="M43" s="227"/>
      <c r="N43" s="212"/>
      <c r="O43" s="227"/>
      <c r="P43" s="227"/>
      <c r="Q43" s="227"/>
      <c r="R43" s="227"/>
    </row>
    <row r="44" spans="1:21" ht="20.100000000000001" hidden="1" customHeight="1" thickBot="1" x14ac:dyDescent="0.3">
      <c r="A44" s="384" t="s">
        <v>90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6"/>
    </row>
    <row r="45" spans="1:21" ht="20.100000000000001" hidden="1" customHeight="1" x14ac:dyDescent="0.25">
      <c r="A45" s="242" t="s">
        <v>9</v>
      </c>
      <c r="B45" s="243"/>
      <c r="F45" s="230"/>
      <c r="G45" s="230"/>
      <c r="H45" s="230"/>
      <c r="I45" s="230"/>
      <c r="J45" s="230"/>
      <c r="L45" s="154"/>
      <c r="M45" s="154"/>
      <c r="N45" s="154"/>
      <c r="O45" s="154"/>
      <c r="P45" s="154"/>
      <c r="Q45" s="154"/>
      <c r="R45" s="154"/>
    </row>
    <row r="46" spans="1:21" ht="20.100000000000001" hidden="1" customHeight="1" x14ac:dyDescent="0.25">
      <c r="A46" s="244"/>
      <c r="B46" s="245"/>
      <c r="C46" s="246"/>
      <c r="D46" s="246"/>
      <c r="E46" s="246"/>
      <c r="F46" s="247"/>
      <c r="G46" s="247"/>
      <c r="H46" s="247"/>
      <c r="I46" s="247"/>
      <c r="J46" s="247"/>
      <c r="K46" s="246"/>
      <c r="L46" s="246"/>
      <c r="M46" s="246"/>
      <c r="N46" s="246"/>
      <c r="O46" s="246"/>
      <c r="P46" s="246"/>
      <c r="Q46" s="246"/>
      <c r="R46" s="246"/>
    </row>
    <row r="47" spans="1:21" ht="20.100000000000001" hidden="1" customHeight="1" x14ac:dyDescent="0.25">
      <c r="A47" s="242" t="s">
        <v>12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1:21" ht="20.100000000000001" hidden="1" customHeight="1" x14ac:dyDescent="0.25">
      <c r="A48" s="248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</row>
    <row r="49" spans="1:18" ht="20.100000000000001" customHeight="1" thickTop="1" x14ac:dyDescent="0.25">
      <c r="A49" s="248"/>
      <c r="B49" s="246"/>
      <c r="C49" s="246"/>
      <c r="D49" s="246"/>
      <c r="E49" s="257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1:18" ht="20.100000000000001" customHeight="1" x14ac:dyDescent="0.25">
      <c r="A50" s="248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55" t="s">
        <v>52</v>
      </c>
      <c r="O50" s="246"/>
      <c r="P50" s="256">
        <v>4620041</v>
      </c>
      <c r="Q50" s="246"/>
      <c r="R50" s="246"/>
    </row>
    <row r="51" spans="1:18" ht="20.100000000000001" customHeight="1" x14ac:dyDescent="0.25">
      <c r="A51" s="249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1:18" ht="20.100000000000001" customHeight="1" thickBot="1" x14ac:dyDescent="0.3">
      <c r="A52" s="249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55" t="s">
        <v>883</v>
      </c>
      <c r="O52" s="246"/>
      <c r="P52" s="315">
        <f>P39+P41+P42+P50</f>
        <v>5312819.7900000028</v>
      </c>
      <c r="Q52" s="257"/>
      <c r="R52" s="246"/>
    </row>
    <row r="53" spans="1:18" ht="20.100000000000001" customHeight="1" thickTop="1" x14ac:dyDescent="0.25">
      <c r="A53" s="248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1:18" ht="20.100000000000001" customHeight="1" x14ac:dyDescent="0.25">
      <c r="A54" s="249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1:18" ht="20.100000000000001" customHeight="1" x14ac:dyDescent="0.25">
      <c r="A55" s="248"/>
      <c r="B55" s="215"/>
      <c r="C55" s="246"/>
      <c r="D55" s="246"/>
      <c r="E55" s="314"/>
      <c r="F55" s="312"/>
      <c r="G55" s="312"/>
      <c r="H55" s="312"/>
      <c r="I55" s="312"/>
      <c r="J55" s="312"/>
      <c r="K55" s="246"/>
      <c r="L55" s="246"/>
      <c r="M55" s="246"/>
      <c r="N55" s="246"/>
      <c r="O55" s="246"/>
      <c r="P55" s="246"/>
      <c r="Q55" s="246"/>
      <c r="R55" s="246"/>
    </row>
    <row r="56" spans="1:18" s="250" customFormat="1" ht="13.5" customHeight="1" x14ac:dyDescent="0.25">
      <c r="A56" s="248"/>
      <c r="B56" s="246"/>
      <c r="C56" s="246"/>
      <c r="D56" s="246"/>
      <c r="E56" s="246"/>
      <c r="F56" s="312"/>
      <c r="G56" s="312"/>
      <c r="H56" s="312"/>
      <c r="I56" s="312"/>
      <c r="J56" s="312"/>
      <c r="K56" s="246"/>
      <c r="L56" s="246"/>
      <c r="M56" s="246"/>
      <c r="N56" s="246"/>
      <c r="O56" s="246"/>
      <c r="P56" s="246"/>
      <c r="Q56" s="246"/>
      <c r="R56" s="246"/>
    </row>
    <row r="58" spans="1:18" x14ac:dyDescent="0.25">
      <c r="B58" s="215"/>
      <c r="F58" s="313"/>
      <c r="G58" s="313"/>
      <c r="H58" s="313"/>
      <c r="I58" s="313"/>
      <c r="J58" s="313"/>
    </row>
    <row r="59" spans="1:18" ht="15.75" x14ac:dyDescent="0.25">
      <c r="B59" s="342" t="s">
        <v>932</v>
      </c>
      <c r="E59" s="222">
        <f>E18+E19</f>
        <v>50405.21</v>
      </c>
      <c r="F59" s="222">
        <f>F18+F19</f>
        <v>364049.67712112708</v>
      </c>
      <c r="H59" s="222">
        <f>H18+H19</f>
        <v>368740.30499999999</v>
      </c>
      <c r="L59" s="222">
        <f>L18+L19</f>
        <v>737480.61</v>
      </c>
      <c r="P59" s="222">
        <f>P18+P19</f>
        <v>942033.45</v>
      </c>
    </row>
    <row r="60" spans="1:18" ht="15.75" x14ac:dyDescent="0.25">
      <c r="B60" s="342" t="s">
        <v>933</v>
      </c>
      <c r="E60" s="222">
        <f>E20+E21</f>
        <v>3414.0699999999997</v>
      </c>
      <c r="F60" s="222">
        <f>F20+F21</f>
        <v>41964.148983398089</v>
      </c>
      <c r="G60" s="313"/>
      <c r="H60" s="222">
        <f>H20+H21</f>
        <v>25102.5</v>
      </c>
      <c r="I60" s="313"/>
      <c r="J60" s="313"/>
      <c r="L60" s="222">
        <f>L20+L21</f>
        <v>50205</v>
      </c>
      <c r="P60" s="222">
        <f>P20+P21</f>
        <v>48162.710000000006</v>
      </c>
    </row>
    <row r="61" spans="1:18" ht="15.75" x14ac:dyDescent="0.25">
      <c r="B61" s="342" t="s">
        <v>934</v>
      </c>
      <c r="E61" s="222">
        <f>E22</f>
        <v>945.58</v>
      </c>
      <c r="F61" s="222">
        <f>F22</f>
        <v>12077.33</v>
      </c>
      <c r="G61" s="313"/>
      <c r="H61" s="222">
        <f>H22</f>
        <v>7650</v>
      </c>
      <c r="I61" s="313"/>
      <c r="J61" s="313"/>
      <c r="L61" s="222">
        <f>L22</f>
        <v>15300</v>
      </c>
      <c r="P61" s="222">
        <f>P22</f>
        <v>29552.23</v>
      </c>
    </row>
    <row r="62" spans="1:18" ht="15.75" x14ac:dyDescent="0.25">
      <c r="B62" s="342" t="s">
        <v>632</v>
      </c>
      <c r="E62" s="222">
        <f>E23+E24</f>
        <v>75489.75</v>
      </c>
      <c r="F62" s="222">
        <f>F23+F24</f>
        <v>237342.25641698099</v>
      </c>
      <c r="G62" s="313"/>
      <c r="H62" s="222">
        <f>H23+H24</f>
        <v>233340.27999999997</v>
      </c>
      <c r="I62" s="313"/>
      <c r="J62" s="313"/>
      <c r="L62" s="222">
        <f>L23+L24</f>
        <v>466680.56</v>
      </c>
      <c r="P62" s="222">
        <f>P23+P24</f>
        <v>58590.450000000012</v>
      </c>
    </row>
    <row r="63" spans="1:18" ht="15.75" x14ac:dyDescent="0.25">
      <c r="B63" s="345" t="s">
        <v>935</v>
      </c>
      <c r="E63" s="222">
        <f>E25+E26</f>
        <v>12075.19</v>
      </c>
      <c r="F63" s="222">
        <f>F25+F26</f>
        <v>77021.124869556865</v>
      </c>
      <c r="H63" s="222">
        <f>H25+H26</f>
        <v>58306.334999999999</v>
      </c>
      <c r="L63" s="222">
        <f>L25+L26</f>
        <v>116612.67</v>
      </c>
      <c r="P63" s="222">
        <f>P25+P26</f>
        <v>126404.39</v>
      </c>
    </row>
    <row r="64" spans="1:18" ht="15.75" x14ac:dyDescent="0.25">
      <c r="B64" s="342" t="s">
        <v>936</v>
      </c>
      <c r="E64" s="222">
        <f>E27+E28</f>
        <v>23981.46</v>
      </c>
      <c r="F64" s="222">
        <f>F27+F28</f>
        <v>216527.35276934181</v>
      </c>
      <c r="G64" s="313"/>
      <c r="H64" s="222">
        <f>H27+H28</f>
        <v>217769.37</v>
      </c>
      <c r="I64" s="313"/>
      <c r="J64" s="313"/>
      <c r="L64" s="222">
        <f>L27+L28</f>
        <v>435538.74</v>
      </c>
      <c r="P64" s="222">
        <f>P27+P28</f>
        <v>427050.21000000008</v>
      </c>
    </row>
    <row r="65" spans="2:16" ht="15.75" x14ac:dyDescent="0.25">
      <c r="B65" s="342" t="s">
        <v>937</v>
      </c>
      <c r="E65" s="222">
        <f>E29+E30</f>
        <v>318124.94999999995</v>
      </c>
      <c r="F65" s="222">
        <f>F29+F30</f>
        <v>2225211.8205524953</v>
      </c>
      <c r="G65" s="313"/>
      <c r="H65" s="222">
        <f>H29+H30</f>
        <v>2765048.74</v>
      </c>
      <c r="I65" s="313"/>
      <c r="J65" s="313"/>
      <c r="L65" s="222">
        <f>L29+L30</f>
        <v>5530097.4800000004</v>
      </c>
      <c r="P65" s="222">
        <f>P29+P30</f>
        <v>5730350.5599999987</v>
      </c>
    </row>
    <row r="66" spans="2:16" ht="15.75" x14ac:dyDescent="0.25">
      <c r="B66" s="342" t="s">
        <v>938</v>
      </c>
      <c r="E66" s="222">
        <f>E31+E32</f>
        <v>412486.22000000003</v>
      </c>
      <c r="F66" s="222">
        <f>F31+F32</f>
        <v>2982978.454516496</v>
      </c>
      <c r="G66" s="313"/>
      <c r="H66" s="222">
        <f>H31+H32</f>
        <v>3200743.84</v>
      </c>
      <c r="I66" s="313"/>
      <c r="J66" s="313"/>
      <c r="L66" s="222">
        <f>L31+L32</f>
        <v>6401487.6799999997</v>
      </c>
      <c r="P66" s="222">
        <f>P31+P32</f>
        <v>6548339.5199999996</v>
      </c>
    </row>
    <row r="67" spans="2:16" ht="15.75" x14ac:dyDescent="0.25">
      <c r="B67" s="342" t="s">
        <v>939</v>
      </c>
      <c r="E67" s="222">
        <f>E33+E34+E35</f>
        <v>82414.430000000008</v>
      </c>
      <c r="F67" s="222">
        <f>F33+F34+F35</f>
        <v>545452.85333333327</v>
      </c>
      <c r="H67" s="222">
        <f>H33+H34+H35</f>
        <v>578493.69500000007</v>
      </c>
      <c r="L67" s="222">
        <f>L33+L34+L35</f>
        <v>1156987.3900000001</v>
      </c>
      <c r="P67" s="222">
        <f>P33+P34+P35</f>
        <v>1360706.3999999997</v>
      </c>
    </row>
    <row r="68" spans="2:16" x14ac:dyDescent="0.25">
      <c r="E68" s="222">
        <f>SUM(E59:E67)</f>
        <v>979336.86</v>
      </c>
      <c r="F68" s="222">
        <f>SUM(F59:F67)</f>
        <v>6702625.0185627304</v>
      </c>
      <c r="H68" s="222">
        <f>SUM(H59:H67)</f>
        <v>7455195.0650000004</v>
      </c>
      <c r="L68" s="222">
        <f>SUM(L59:L67)</f>
        <v>14910390.130000001</v>
      </c>
      <c r="P68" s="222">
        <f>SUM(P59:P67)</f>
        <v>15271189.919999998</v>
      </c>
    </row>
  </sheetData>
  <mergeCells count="5">
    <mergeCell ref="A1:R1"/>
    <mergeCell ref="A3:R3"/>
    <mergeCell ref="A4:R4"/>
    <mergeCell ref="A44:R44"/>
    <mergeCell ref="A2:R2"/>
  </mergeCells>
  <printOptions horizontalCentered="1" verticalCentered="1"/>
  <pageMargins left="0.2" right="0.2" top="0" bottom="0.4" header="0.3" footer="0.25"/>
  <pageSetup scale="54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71"/>
  <sheetViews>
    <sheetView tabSelected="1" topLeftCell="A10" zoomScaleNormal="100" workbookViewId="0">
      <selection activeCell="K30" sqref="K30"/>
    </sheetView>
  </sheetViews>
  <sheetFormatPr defaultColWidth="8.85546875" defaultRowHeight="15" x14ac:dyDescent="0.25"/>
  <cols>
    <col min="1" max="1" width="14" style="154" customWidth="1"/>
    <col min="2" max="2" width="42.28515625" style="154" bestFit="1" customWidth="1"/>
    <col min="3" max="4" width="2.7109375" style="154" customWidth="1"/>
    <col min="5" max="5" width="17.42578125" style="250" customWidth="1"/>
    <col min="6" max="6" width="2.7109375" style="227" customWidth="1"/>
    <col min="7" max="8" width="18.42578125" style="251" customWidth="1"/>
    <col min="9" max="9" width="11.5703125" style="211" customWidth="1"/>
    <col min="10" max="10" width="8.85546875" style="154"/>
    <col min="11" max="11" width="14.7109375" style="154" bestFit="1" customWidth="1"/>
    <col min="12" max="12" width="11.7109375" style="154" bestFit="1" customWidth="1"/>
    <col min="13" max="13" width="12.28515625" style="154" customWidth="1"/>
    <col min="14" max="16384" width="8.85546875" style="154"/>
  </cols>
  <sheetData>
    <row r="1" spans="1:73" s="169" customFormat="1" ht="15.75" x14ac:dyDescent="0.25">
      <c r="A1" s="381" t="s">
        <v>118</v>
      </c>
      <c r="B1" s="381"/>
      <c r="C1" s="381"/>
      <c r="D1" s="381"/>
      <c r="E1" s="381"/>
      <c r="F1" s="381"/>
      <c r="G1" s="381"/>
      <c r="H1" s="381"/>
      <c r="I1" s="381"/>
    </row>
    <row r="2" spans="1:73" s="169" customFormat="1" ht="15.75" x14ac:dyDescent="0.25">
      <c r="A2" s="381" t="s">
        <v>122</v>
      </c>
      <c r="B2" s="381"/>
      <c r="C2" s="381"/>
      <c r="D2" s="381"/>
      <c r="E2" s="381"/>
      <c r="F2" s="381"/>
      <c r="G2" s="381"/>
      <c r="H2" s="381"/>
      <c r="I2" s="381"/>
    </row>
    <row r="3" spans="1:73" s="169" customFormat="1" ht="15.75" x14ac:dyDescent="0.25">
      <c r="A3" s="382" t="s">
        <v>957</v>
      </c>
      <c r="B3" s="382"/>
      <c r="C3" s="382"/>
      <c r="D3" s="382"/>
      <c r="E3" s="382"/>
      <c r="F3" s="382"/>
      <c r="G3" s="382"/>
      <c r="H3" s="382"/>
      <c r="I3" s="382"/>
    </row>
    <row r="4" spans="1:73" s="170" customFormat="1" ht="18.75" x14ac:dyDescent="0.3">
      <c r="A4" s="383" t="s">
        <v>105</v>
      </c>
      <c r="B4" s="383"/>
      <c r="C4" s="383"/>
      <c r="D4" s="383"/>
      <c r="E4" s="383"/>
      <c r="F4" s="383"/>
      <c r="G4" s="383"/>
      <c r="H4" s="383"/>
      <c r="I4" s="383"/>
    </row>
    <row r="5" spans="1:73" s="178" customFormat="1" ht="18.75" x14ac:dyDescent="0.3">
      <c r="A5" s="346"/>
      <c r="B5" s="172"/>
      <c r="C5" s="172"/>
      <c r="D5" s="172"/>
      <c r="E5" s="173"/>
      <c r="F5" s="176"/>
      <c r="G5" s="177"/>
      <c r="H5" s="177"/>
      <c r="I5" s="174"/>
    </row>
    <row r="6" spans="1:73" s="189" customFormat="1" ht="68.25" customHeight="1" x14ac:dyDescent="0.25">
      <c r="A6" s="179"/>
      <c r="B6" s="180" t="s">
        <v>14</v>
      </c>
      <c r="C6" s="181"/>
      <c r="D6" s="172"/>
      <c r="E6" s="184" t="s">
        <v>882</v>
      </c>
      <c r="F6" s="186"/>
      <c r="G6" s="187" t="s">
        <v>955</v>
      </c>
      <c r="H6" s="187" t="s">
        <v>249</v>
      </c>
      <c r="I6" s="188" t="s">
        <v>21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</row>
    <row r="7" spans="1:73" s="198" customFormat="1" ht="15.75" x14ac:dyDescent="0.25">
      <c r="A7" s="190" t="s">
        <v>9</v>
      </c>
      <c r="B7" s="178" t="s">
        <v>0</v>
      </c>
      <c r="C7" s="191"/>
      <c r="D7" s="192"/>
      <c r="E7" s="194">
        <v>5410639.3199999994</v>
      </c>
      <c r="F7" s="195"/>
      <c r="G7" s="194">
        <v>4730231.4000000004</v>
      </c>
      <c r="H7" s="194">
        <f>E7-G7</f>
        <v>680407.91999999899</v>
      </c>
      <c r="I7" s="197">
        <f>(E7-G7)/G7</f>
        <v>0.14384241751893975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</row>
    <row r="8" spans="1:73" s="178" customFormat="1" ht="15.75" x14ac:dyDescent="0.25">
      <c r="B8" s="178" t="s">
        <v>1</v>
      </c>
      <c r="C8" s="191"/>
      <c r="D8" s="192"/>
      <c r="E8" s="194">
        <v>4777378.1500000004</v>
      </c>
      <c r="F8" s="195"/>
      <c r="G8" s="194">
        <v>4989000</v>
      </c>
      <c r="H8" s="194">
        <f t="shared" ref="H8:H15" si="0">E8-G8</f>
        <v>-211621.84999999963</v>
      </c>
      <c r="I8" s="197">
        <f t="shared" ref="I8:I15" si="1">(E8-G8)/G8</f>
        <v>-4.2417688915614274E-2</v>
      </c>
    </row>
    <row r="9" spans="1:73" s="178" customFormat="1" ht="15.75" x14ac:dyDescent="0.25">
      <c r="B9" s="178" t="s">
        <v>2</v>
      </c>
      <c r="C9" s="191"/>
      <c r="D9" s="192"/>
      <c r="E9" s="194">
        <v>1470964.96</v>
      </c>
      <c r="F9" s="195"/>
      <c r="G9" s="194">
        <v>1695375</v>
      </c>
      <c r="H9" s="194">
        <f t="shared" si="0"/>
        <v>-224410.04000000004</v>
      </c>
      <c r="I9" s="197">
        <f t="shared" si="1"/>
        <v>-0.13236601931726022</v>
      </c>
    </row>
    <row r="10" spans="1:73" s="178" customFormat="1" ht="15.75" x14ac:dyDescent="0.25">
      <c r="B10" s="178" t="s">
        <v>3</v>
      </c>
      <c r="C10" s="191"/>
      <c r="D10" s="192"/>
      <c r="E10" s="194">
        <v>850921.55999999994</v>
      </c>
      <c r="F10" s="195"/>
      <c r="G10" s="194">
        <v>613950</v>
      </c>
      <c r="H10" s="194">
        <f t="shared" si="0"/>
        <v>236971.55999999994</v>
      </c>
      <c r="I10" s="197">
        <f t="shared" si="1"/>
        <v>0.38597859760566811</v>
      </c>
    </row>
    <row r="11" spans="1:73" s="178" customFormat="1" ht="15.75" x14ac:dyDescent="0.25">
      <c r="B11" s="178" t="s">
        <v>5</v>
      </c>
      <c r="C11" s="191"/>
      <c r="D11" s="192"/>
      <c r="E11" s="194">
        <v>1849719.42</v>
      </c>
      <c r="F11" s="195"/>
      <c r="G11" s="194">
        <v>1268100</v>
      </c>
      <c r="H11" s="194">
        <f t="shared" si="0"/>
        <v>581619.41999999993</v>
      </c>
      <c r="I11" s="197">
        <f t="shared" si="1"/>
        <v>0.45865422285308721</v>
      </c>
      <c r="M11" s="199"/>
    </row>
    <row r="12" spans="1:73" s="178" customFormat="1" ht="15.75" x14ac:dyDescent="0.25">
      <c r="B12" s="178" t="s">
        <v>6</v>
      </c>
      <c r="C12" s="191"/>
      <c r="D12" s="192"/>
      <c r="E12" s="194">
        <v>267527.25</v>
      </c>
      <c r="F12" s="195"/>
      <c r="G12" s="194">
        <v>370000</v>
      </c>
      <c r="H12" s="194">
        <f t="shared" si="0"/>
        <v>-102472.75</v>
      </c>
      <c r="I12" s="197">
        <f t="shared" si="1"/>
        <v>-0.27695337837837836</v>
      </c>
      <c r="M12" s="199"/>
    </row>
    <row r="13" spans="1:73" s="178" customFormat="1" ht="15.75" x14ac:dyDescent="0.25">
      <c r="B13" s="178" t="s">
        <v>4</v>
      </c>
      <c r="C13" s="191"/>
      <c r="D13" s="192"/>
      <c r="E13" s="194">
        <v>8804.32</v>
      </c>
      <c r="F13" s="195"/>
      <c r="G13" s="194">
        <v>8700</v>
      </c>
      <c r="H13" s="194">
        <f t="shared" si="0"/>
        <v>104.31999999999971</v>
      </c>
      <c r="I13" s="197">
        <f t="shared" si="1"/>
        <v>1.1990804597701117E-2</v>
      </c>
      <c r="M13" s="199"/>
    </row>
    <row r="14" spans="1:73" s="178" customFormat="1" ht="15.75" x14ac:dyDescent="0.25">
      <c r="B14" s="178" t="s">
        <v>7</v>
      </c>
      <c r="C14" s="191"/>
      <c r="D14" s="192"/>
      <c r="E14" s="194">
        <v>1048834.07</v>
      </c>
      <c r="F14" s="195"/>
      <c r="G14" s="194">
        <v>1390992.63</v>
      </c>
      <c r="H14" s="194">
        <f t="shared" si="0"/>
        <v>-342158.55999999982</v>
      </c>
      <c r="I14" s="197">
        <f t="shared" si="1"/>
        <v>-0.24598157648038713</v>
      </c>
      <c r="M14" s="199"/>
    </row>
    <row r="15" spans="1:73" s="178" customFormat="1" ht="15.75" x14ac:dyDescent="0.25">
      <c r="B15" s="178" t="s">
        <v>8</v>
      </c>
      <c r="C15" s="191"/>
      <c r="D15" s="192"/>
      <c r="E15" s="194">
        <v>279179.65999999997</v>
      </c>
      <c r="F15" s="195"/>
      <c r="G15" s="194">
        <v>321525</v>
      </c>
      <c r="H15" s="194">
        <f t="shared" si="0"/>
        <v>-42345.340000000026</v>
      </c>
      <c r="I15" s="200">
        <f t="shared" si="1"/>
        <v>-0.13170154731358377</v>
      </c>
    </row>
    <row r="16" spans="1:73" s="202" customFormat="1" ht="16.5" thickBot="1" x14ac:dyDescent="0.3">
      <c r="A16" s="201" t="s">
        <v>11</v>
      </c>
      <c r="C16" s="203"/>
      <c r="D16" s="203"/>
      <c r="E16" s="205">
        <f>SUM(E7:E15)</f>
        <v>15963968.710000001</v>
      </c>
      <c r="F16" s="206"/>
      <c r="G16" s="205">
        <v>15387874.030000001</v>
      </c>
      <c r="H16" s="205">
        <f>SUM(H7:H15)</f>
        <v>576094.67999999947</v>
      </c>
      <c r="I16" s="208">
        <f>(E16-G16)/G16</f>
        <v>3.7438224336698682E-2</v>
      </c>
      <c r="K16" s="253"/>
      <c r="L16" s="254"/>
    </row>
    <row r="17" spans="1:13" ht="15.75" x14ac:dyDescent="0.25">
      <c r="C17" s="169"/>
      <c r="E17" s="210"/>
      <c r="F17" s="212"/>
      <c r="G17" s="213"/>
      <c r="H17" s="213"/>
      <c r="I17" s="214"/>
      <c r="K17" s="155"/>
    </row>
    <row r="18" spans="1:13" ht="15.75" x14ac:dyDescent="0.25">
      <c r="A18" s="190" t="s">
        <v>12</v>
      </c>
      <c r="B18" s="215" t="s">
        <v>851</v>
      </c>
      <c r="C18" s="216"/>
      <c r="D18" s="217"/>
      <c r="E18" s="219">
        <v>148239.07999999999</v>
      </c>
      <c r="F18" s="221"/>
      <c r="G18" s="219">
        <f>'GF-DETAIL'!E107+'GF-DETAIL'!E130</f>
        <v>146678.18</v>
      </c>
      <c r="H18" s="219">
        <f>G18-E18</f>
        <v>-1560.8999999999942</v>
      </c>
      <c r="I18" s="197">
        <f>(G18-E18)/G18</f>
        <v>-1.0641664629326558E-2</v>
      </c>
      <c r="K18" s="253"/>
      <c r="L18" s="254"/>
    </row>
    <row r="19" spans="1:13" ht="15.75" x14ac:dyDescent="0.25">
      <c r="A19" s="190"/>
      <c r="B19" s="215" t="s">
        <v>849</v>
      </c>
      <c r="C19" s="216"/>
      <c r="D19" s="217"/>
      <c r="E19" s="219">
        <v>793794.37</v>
      </c>
      <c r="F19" s="221"/>
      <c r="G19" s="219">
        <f>'GF-DETAIL'!E145-G18</f>
        <v>536046.07000000007</v>
      </c>
      <c r="H19" s="219">
        <f t="shared" ref="H19:H35" si="2">G19-E19</f>
        <v>-257748.29999999993</v>
      </c>
      <c r="I19" s="197">
        <f t="shared" ref="I19:I36" si="3">(G19-E19)/G19</f>
        <v>-0.48083236577035232</v>
      </c>
      <c r="K19" s="253"/>
      <c r="L19" s="254"/>
    </row>
    <row r="20" spans="1:13" s="223" customFormat="1" ht="15.75" x14ac:dyDescent="0.25">
      <c r="A20" s="190"/>
      <c r="B20" s="215" t="s">
        <v>852</v>
      </c>
      <c r="C20" s="216"/>
      <c r="D20" s="217"/>
      <c r="E20" s="219">
        <v>23450</v>
      </c>
      <c r="F20" s="221"/>
      <c r="G20" s="219">
        <f>'GF-DETAIL'!E152</f>
        <v>27600</v>
      </c>
      <c r="H20" s="219">
        <f t="shared" si="2"/>
        <v>4150</v>
      </c>
      <c r="I20" s="197">
        <f t="shared" si="3"/>
        <v>0.15036231884057971</v>
      </c>
      <c r="J20" s="154"/>
      <c r="K20" s="253"/>
      <c r="L20" s="254"/>
    </row>
    <row r="21" spans="1:13" s="223" customFormat="1" ht="15.75" x14ac:dyDescent="0.25">
      <c r="A21" s="190"/>
      <c r="B21" s="215" t="s">
        <v>850</v>
      </c>
      <c r="C21" s="216"/>
      <c r="D21" s="217"/>
      <c r="E21" s="219">
        <v>24712.710000000006</v>
      </c>
      <c r="F21" s="221"/>
      <c r="G21" s="219">
        <f>'GF-DETAIL'!E169-G20</f>
        <v>41752.929999999993</v>
      </c>
      <c r="H21" s="219">
        <f t="shared" si="2"/>
        <v>17040.219999999987</v>
      </c>
      <c r="I21" s="197">
        <f t="shared" si="3"/>
        <v>0.40812034029707589</v>
      </c>
      <c r="J21" s="154"/>
      <c r="K21" s="253"/>
      <c r="L21" s="254"/>
    </row>
    <row r="22" spans="1:13" ht="15.75" x14ac:dyDescent="0.25">
      <c r="A22" s="224"/>
      <c r="B22" s="215" t="s">
        <v>10</v>
      </c>
      <c r="C22" s="216"/>
      <c r="D22" s="217"/>
      <c r="E22" s="219">
        <v>29552.23</v>
      </c>
      <c r="F22" s="221"/>
      <c r="G22" s="219">
        <f>'GF-DETAIL'!E188</f>
        <v>8650</v>
      </c>
      <c r="H22" s="219">
        <f t="shared" si="2"/>
        <v>-20902.23</v>
      </c>
      <c r="I22" s="197">
        <f t="shared" si="3"/>
        <v>-2.416442774566474</v>
      </c>
      <c r="K22" s="253"/>
      <c r="L22" s="254"/>
    </row>
    <row r="23" spans="1:13" ht="15.75" x14ac:dyDescent="0.25">
      <c r="A23" s="224"/>
      <c r="B23" s="215" t="s">
        <v>853</v>
      </c>
      <c r="C23" s="216"/>
      <c r="D23" s="217"/>
      <c r="E23" s="219">
        <v>176986.37</v>
      </c>
      <c r="F23" s="221"/>
      <c r="G23" s="219">
        <f>'GF-DETAIL'!E200+'GF-DETAIL'!E229</f>
        <v>233604.4</v>
      </c>
      <c r="H23" s="219">
        <f t="shared" si="2"/>
        <v>56618.03</v>
      </c>
      <c r="I23" s="197">
        <f t="shared" si="3"/>
        <v>0.24236713863266274</v>
      </c>
      <c r="K23" s="253"/>
      <c r="L23" s="254"/>
    </row>
    <row r="24" spans="1:13" ht="15.75" x14ac:dyDescent="0.25">
      <c r="A24" s="224"/>
      <c r="B24" s="215" t="s">
        <v>854</v>
      </c>
      <c r="C24" s="216"/>
      <c r="D24" s="217"/>
      <c r="E24" s="219">
        <v>-118395.91999999998</v>
      </c>
      <c r="F24" s="221"/>
      <c r="G24" s="219">
        <f>'GF-DETAIL'!E238-G23</f>
        <v>255846.04</v>
      </c>
      <c r="H24" s="219">
        <f t="shared" si="2"/>
        <v>374241.95999999996</v>
      </c>
      <c r="I24" s="197">
        <f t="shared" si="3"/>
        <v>1.4627623706819928</v>
      </c>
      <c r="K24" s="253"/>
      <c r="L24" s="254"/>
    </row>
    <row r="25" spans="1:13" ht="15.75" x14ac:dyDescent="0.25">
      <c r="A25" s="224"/>
      <c r="B25" s="215" t="s">
        <v>855</v>
      </c>
      <c r="C25" s="216"/>
      <c r="D25" s="217"/>
      <c r="E25" s="219">
        <v>54367.72</v>
      </c>
      <c r="F25" s="221"/>
      <c r="G25" s="219">
        <f>'GF-DETAIL'!E243+'GF-DETAIL'!E258</f>
        <v>49594.64</v>
      </c>
      <c r="H25" s="219">
        <f t="shared" si="2"/>
        <v>-4773.0800000000017</v>
      </c>
      <c r="I25" s="197">
        <f t="shared" si="3"/>
        <v>-9.6241851942064749E-2</v>
      </c>
      <c r="K25" s="253"/>
      <c r="L25" s="254"/>
      <c r="M25" s="222"/>
    </row>
    <row r="26" spans="1:13" ht="15.75" x14ac:dyDescent="0.25">
      <c r="A26" s="224"/>
      <c r="B26" s="215" t="s">
        <v>856</v>
      </c>
      <c r="C26" s="216"/>
      <c r="D26" s="217"/>
      <c r="E26" s="219">
        <v>72036.67</v>
      </c>
      <c r="F26" s="221"/>
      <c r="G26" s="219">
        <f>'GF-DETAIL'!E264-G25</f>
        <v>98918.029999999984</v>
      </c>
      <c r="H26" s="219">
        <f t="shared" si="2"/>
        <v>26881.359999999986</v>
      </c>
      <c r="I26" s="197">
        <f t="shared" si="3"/>
        <v>0.27175389562448815</v>
      </c>
      <c r="K26" s="253"/>
      <c r="L26" s="254"/>
      <c r="M26" s="222"/>
    </row>
    <row r="27" spans="1:13" ht="15.75" x14ac:dyDescent="0.25">
      <c r="A27" s="224"/>
      <c r="B27" s="215" t="s">
        <v>857</v>
      </c>
      <c r="C27" s="216"/>
      <c r="D27" s="217"/>
      <c r="E27" s="219">
        <v>240490.57</v>
      </c>
      <c r="F27" s="221"/>
      <c r="G27" s="219">
        <f>'GF-DETAIL'!E276+'GF-DETAIL'!E304</f>
        <v>269870.98</v>
      </c>
      <c r="H27" s="219">
        <f t="shared" si="2"/>
        <v>29380.409999999974</v>
      </c>
      <c r="I27" s="197">
        <f t="shared" si="3"/>
        <v>0.10886835627898923</v>
      </c>
      <c r="K27" s="253"/>
      <c r="L27" s="254"/>
    </row>
    <row r="28" spans="1:13" ht="15.75" x14ac:dyDescent="0.25">
      <c r="A28" s="224"/>
      <c r="B28" s="215" t="s">
        <v>858</v>
      </c>
      <c r="C28" s="216"/>
      <c r="D28" s="217"/>
      <c r="E28" s="219">
        <v>186559.64000000007</v>
      </c>
      <c r="F28" s="221"/>
      <c r="G28" s="219">
        <f>'GF-DETAIL'!E319-G27</f>
        <v>165932.64000000001</v>
      </c>
      <c r="H28" s="219">
        <f t="shared" si="2"/>
        <v>-20627.000000000058</v>
      </c>
      <c r="I28" s="197">
        <f t="shared" si="3"/>
        <v>-0.12430947883430322</v>
      </c>
      <c r="K28" s="253"/>
      <c r="L28" s="254"/>
    </row>
    <row r="29" spans="1:13" ht="15.75" x14ac:dyDescent="0.25">
      <c r="A29" s="224"/>
      <c r="B29" s="215" t="s">
        <v>859</v>
      </c>
      <c r="C29" s="216"/>
      <c r="D29" s="217"/>
      <c r="E29" s="219">
        <v>5066902.4099999992</v>
      </c>
      <c r="F29" s="221"/>
      <c r="G29" s="219">
        <f>'GF-DETAIL'!E349+'GF-DETAIL'!E381</f>
        <v>4643776.5299999993</v>
      </c>
      <c r="H29" s="219">
        <f t="shared" si="2"/>
        <v>-423125.87999999989</v>
      </c>
      <c r="I29" s="197">
        <f t="shared" si="3"/>
        <v>-9.1116761813687011E-2</v>
      </c>
      <c r="K29" s="253"/>
      <c r="L29" s="254"/>
    </row>
    <row r="30" spans="1:13" ht="15.75" x14ac:dyDescent="0.25">
      <c r="A30" s="224"/>
      <c r="B30" s="215" t="s">
        <v>860</v>
      </c>
      <c r="C30" s="216"/>
      <c r="D30" s="217"/>
      <c r="E30" s="219">
        <v>663448.14999999944</v>
      </c>
      <c r="F30" s="221"/>
      <c r="G30" s="219">
        <f>'GF-DETAIL'!E410-G29</f>
        <v>770319.90000000037</v>
      </c>
      <c r="H30" s="219">
        <f t="shared" si="2"/>
        <v>106871.75000000093</v>
      </c>
      <c r="I30" s="197">
        <f t="shared" si="3"/>
        <v>0.13873684166798869</v>
      </c>
      <c r="K30" s="253"/>
      <c r="L30" s="254"/>
    </row>
    <row r="31" spans="1:13" ht="15.75" x14ac:dyDescent="0.25">
      <c r="A31" s="224"/>
      <c r="B31" s="215" t="s">
        <v>861</v>
      </c>
      <c r="C31" s="216"/>
      <c r="D31" s="217"/>
      <c r="E31" s="219">
        <v>5486335.9299999997</v>
      </c>
      <c r="F31" s="221"/>
      <c r="G31" s="219">
        <f>'GF-DETAIL'!E451+'GF-DETAIL'!E485</f>
        <v>5059948.25</v>
      </c>
      <c r="H31" s="219">
        <f t="shared" si="2"/>
        <v>-426387.6799999997</v>
      </c>
      <c r="I31" s="197">
        <f t="shared" si="3"/>
        <v>-8.4267201744602768E-2</v>
      </c>
      <c r="K31" s="253"/>
      <c r="L31" s="254"/>
    </row>
    <row r="32" spans="1:13" ht="15.75" x14ac:dyDescent="0.25">
      <c r="A32" s="224"/>
      <c r="B32" s="215" t="s">
        <v>862</v>
      </c>
      <c r="C32" s="216"/>
      <c r="D32" s="217"/>
      <c r="E32" s="219">
        <v>1062003.5899999999</v>
      </c>
      <c r="F32" s="221"/>
      <c r="G32" s="219">
        <f>'GF-DETAIL'!E517-G31</f>
        <v>982212.63999999966</v>
      </c>
      <c r="H32" s="219">
        <f t="shared" si="2"/>
        <v>-79790.950000000186</v>
      </c>
      <c r="I32" s="197">
        <f t="shared" si="3"/>
        <v>-8.1235922600222513E-2</v>
      </c>
      <c r="K32" s="253"/>
      <c r="L32" s="254"/>
    </row>
    <row r="33" spans="1:12" ht="15.75" x14ac:dyDescent="0.25">
      <c r="A33" s="224"/>
      <c r="B33" s="215" t="s">
        <v>54</v>
      </c>
      <c r="C33" s="216"/>
      <c r="D33" s="217"/>
      <c r="E33" s="219">
        <v>1956.92</v>
      </c>
      <c r="F33" s="221"/>
      <c r="G33" s="219">
        <f>'GF-DETAIL'!E526</f>
        <v>4160</v>
      </c>
      <c r="H33" s="219">
        <f t="shared" si="2"/>
        <v>2203.08</v>
      </c>
      <c r="I33" s="197">
        <f t="shared" si="3"/>
        <v>0.52958653846153847</v>
      </c>
      <c r="K33" s="253"/>
      <c r="L33" s="254"/>
    </row>
    <row r="34" spans="1:12" ht="15.75" x14ac:dyDescent="0.25">
      <c r="A34" s="224"/>
      <c r="B34" s="215" t="s">
        <v>863</v>
      </c>
      <c r="C34" s="216"/>
      <c r="D34" s="217"/>
      <c r="E34" s="219">
        <v>546013.62000000011</v>
      </c>
      <c r="F34" s="221"/>
      <c r="G34" s="219">
        <f>'GF-DETAIL'!E545+'GF-DETAIL'!E578</f>
        <v>561887.25</v>
      </c>
      <c r="H34" s="219">
        <f t="shared" si="2"/>
        <v>15873.629999999888</v>
      </c>
      <c r="I34" s="197">
        <f>(G34-E34)/G34</f>
        <v>2.8250560944388554E-2</v>
      </c>
      <c r="K34" s="253"/>
      <c r="L34" s="254"/>
    </row>
    <row r="35" spans="1:12" ht="15.75" x14ac:dyDescent="0.25">
      <c r="A35" s="224"/>
      <c r="B35" s="215" t="s">
        <v>864</v>
      </c>
      <c r="C35" s="216"/>
      <c r="D35" s="217"/>
      <c r="E35" s="219">
        <v>812735.85999999952</v>
      </c>
      <c r="F35" s="221"/>
      <c r="G35" s="219">
        <f>'GF-DETAIL'!E609-G34-G33</f>
        <v>683335.12000000011</v>
      </c>
      <c r="H35" s="219">
        <f t="shared" si="2"/>
        <v>-129400.73999999941</v>
      </c>
      <c r="I35" s="197">
        <f>(G35-E35)/G35</f>
        <v>-0.18936644146140094</v>
      </c>
      <c r="L35" s="222"/>
    </row>
    <row r="36" spans="1:12" s="202" customFormat="1" ht="16.5" thickBot="1" x14ac:dyDescent="0.3">
      <c r="A36" s="201" t="s">
        <v>13</v>
      </c>
      <c r="C36" s="203"/>
      <c r="D36" s="203"/>
      <c r="E36" s="205">
        <v>15271189.919999998</v>
      </c>
      <c r="F36" s="206"/>
      <c r="G36" s="225">
        <f>SUM(G18:G35)</f>
        <v>14540133.600000001</v>
      </c>
      <c r="H36" s="225">
        <f>SUM(H18:H35)</f>
        <v>-731056.31999999844</v>
      </c>
      <c r="I36" s="208">
        <f t="shared" si="3"/>
        <v>-5.0278514634830899E-2</v>
      </c>
    </row>
    <row r="37" spans="1:12" ht="15.75" x14ac:dyDescent="0.25">
      <c r="C37" s="169"/>
      <c r="E37" s="226"/>
      <c r="G37" s="228"/>
      <c r="H37" s="228"/>
    </row>
    <row r="38" spans="1:12" ht="15.75" x14ac:dyDescent="0.25">
      <c r="C38" s="169"/>
      <c r="E38" s="226"/>
      <c r="G38" s="228"/>
      <c r="H38" s="228"/>
    </row>
    <row r="39" spans="1:12" ht="15.75" x14ac:dyDescent="0.25">
      <c r="A39" s="229" t="s">
        <v>15</v>
      </c>
      <c r="C39" s="169"/>
      <c r="E39" s="231">
        <f>+E16-E36</f>
        <v>692778.79000000283</v>
      </c>
      <c r="G39" s="231">
        <f>+G16-G36</f>
        <v>847740.4299999997</v>
      </c>
      <c r="H39" s="231">
        <f>E39-G39</f>
        <v>-154961.63999999687</v>
      </c>
      <c r="I39" s="197">
        <f>(E39-G39)/G39</f>
        <v>-0.18279373557776044</v>
      </c>
    </row>
    <row r="40" spans="1:12" s="234" customFormat="1" ht="11.25" x14ac:dyDescent="0.2">
      <c r="E40" s="235"/>
      <c r="F40" s="237"/>
      <c r="G40" s="236"/>
      <c r="H40" s="236"/>
      <c r="I40" s="227"/>
    </row>
    <row r="41" spans="1:12" s="234" customFormat="1" ht="15.75" x14ac:dyDescent="0.25">
      <c r="A41" s="229" t="s">
        <v>962</v>
      </c>
      <c r="B41" s="169"/>
      <c r="C41" s="169"/>
      <c r="D41" s="169"/>
      <c r="E41" s="256">
        <v>4620041</v>
      </c>
      <c r="F41" s="237"/>
      <c r="G41" s="256">
        <v>4620041</v>
      </c>
      <c r="H41" s="253"/>
      <c r="I41" s="227"/>
    </row>
    <row r="42" spans="1:12" s="234" customFormat="1" ht="15.75" x14ac:dyDescent="0.25">
      <c r="A42" s="229"/>
      <c r="B42" s="169"/>
      <c r="C42" s="169"/>
      <c r="D42" s="169"/>
      <c r="E42" s="253"/>
      <c r="F42" s="237"/>
      <c r="G42" s="253"/>
      <c r="H42" s="253"/>
      <c r="I42" s="227"/>
    </row>
    <row r="43" spans="1:12" s="234" customFormat="1" ht="16.5" thickBot="1" x14ac:dyDescent="0.3">
      <c r="A43" s="229" t="s">
        <v>53</v>
      </c>
      <c r="B43" s="169"/>
      <c r="C43" s="169"/>
      <c r="D43" s="169"/>
      <c r="E43" s="378">
        <f>E39+E41</f>
        <v>5312819.7900000028</v>
      </c>
      <c r="F43" s="237"/>
      <c r="G43" s="378">
        <f>G39+G41</f>
        <v>5467781.4299999997</v>
      </c>
      <c r="H43" s="231">
        <f>E43-G43</f>
        <v>-154961.63999999687</v>
      </c>
      <c r="I43" s="197">
        <f>(E43-G43)/G43</f>
        <v>-2.8340862191339803E-2</v>
      </c>
    </row>
    <row r="44" spans="1:12" s="234" customFormat="1" ht="15.75" hidden="1" x14ac:dyDescent="0.25">
      <c r="A44" s="229"/>
      <c r="B44" s="169"/>
      <c r="C44" s="169"/>
      <c r="D44" s="169"/>
      <c r="E44" s="241"/>
      <c r="F44" s="227"/>
      <c r="G44" s="227"/>
      <c r="H44" s="227"/>
      <c r="I44" s="227"/>
    </row>
    <row r="45" spans="1:12" ht="20.100000000000001" hidden="1" customHeight="1" thickBot="1" x14ac:dyDescent="0.3">
      <c r="A45" s="384" t="s">
        <v>90</v>
      </c>
      <c r="B45" s="385"/>
      <c r="C45" s="385"/>
      <c r="D45" s="385"/>
      <c r="E45" s="385"/>
      <c r="F45" s="385"/>
      <c r="G45" s="385"/>
      <c r="H45" s="385"/>
      <c r="I45" s="386"/>
    </row>
    <row r="46" spans="1:12" ht="20.100000000000001" hidden="1" customHeight="1" x14ac:dyDescent="0.25">
      <c r="A46" s="242" t="s">
        <v>9</v>
      </c>
      <c r="B46" s="243"/>
      <c r="E46" s="154"/>
      <c r="F46" s="154"/>
      <c r="G46" s="154"/>
      <c r="H46" s="154"/>
      <c r="I46" s="154"/>
    </row>
    <row r="47" spans="1:12" ht="20.100000000000001" hidden="1" customHeight="1" x14ac:dyDescent="0.25">
      <c r="A47" s="244"/>
      <c r="B47" s="245"/>
      <c r="C47" s="246"/>
      <c r="D47" s="246"/>
      <c r="E47" s="246"/>
      <c r="F47" s="246"/>
      <c r="G47" s="246"/>
      <c r="H47" s="246"/>
      <c r="I47" s="246"/>
    </row>
    <row r="48" spans="1:12" ht="20.100000000000001" hidden="1" customHeight="1" x14ac:dyDescent="0.25">
      <c r="A48" s="242" t="s">
        <v>12</v>
      </c>
      <c r="B48" s="246"/>
      <c r="C48" s="246"/>
      <c r="D48" s="246"/>
      <c r="E48" s="246"/>
      <c r="F48" s="246"/>
      <c r="G48" s="246"/>
      <c r="H48" s="246"/>
      <c r="I48" s="246"/>
    </row>
    <row r="49" spans="1:9" ht="20.100000000000001" hidden="1" customHeight="1" x14ac:dyDescent="0.25">
      <c r="A49" s="248"/>
      <c r="B49" s="246"/>
      <c r="C49" s="246"/>
      <c r="D49" s="246"/>
      <c r="E49" s="246"/>
      <c r="F49" s="246"/>
      <c r="G49" s="246"/>
      <c r="H49" s="246"/>
      <c r="I49" s="246"/>
    </row>
    <row r="50" spans="1:9" ht="20.100000000000001" customHeight="1" thickTop="1" x14ac:dyDescent="0.25">
      <c r="A50" s="248"/>
      <c r="B50" s="246"/>
      <c r="C50" s="246"/>
      <c r="D50" s="246"/>
      <c r="E50" s="246"/>
      <c r="F50" s="246"/>
      <c r="G50" s="246"/>
      <c r="H50" s="246"/>
      <c r="I50" s="246"/>
    </row>
    <row r="51" spans="1:9" ht="20.100000000000001" customHeight="1" x14ac:dyDescent="0.25">
      <c r="A51" s="248"/>
      <c r="B51" s="246"/>
      <c r="C51" s="246"/>
      <c r="D51" s="246"/>
      <c r="E51" s="246"/>
      <c r="F51" s="246"/>
      <c r="G51" s="253"/>
      <c r="H51" s="253"/>
      <c r="I51" s="246"/>
    </row>
    <row r="52" spans="1:9" ht="20.100000000000001" customHeight="1" x14ac:dyDescent="0.25">
      <c r="A52" s="249"/>
      <c r="B52" s="246"/>
      <c r="C52" s="246"/>
      <c r="D52" s="246"/>
      <c r="E52" s="246"/>
      <c r="F52" s="246"/>
      <c r="G52" s="377"/>
      <c r="H52" s="246"/>
      <c r="I52" s="246"/>
    </row>
    <row r="53" spans="1:9" ht="20.100000000000001" customHeight="1" x14ac:dyDescent="0.25">
      <c r="A53" s="249"/>
      <c r="B53" s="246"/>
      <c r="C53" s="246"/>
      <c r="D53" s="246"/>
      <c r="E53" s="246"/>
      <c r="F53" s="246"/>
      <c r="G53" s="374"/>
      <c r="H53" s="374"/>
      <c r="I53" s="246"/>
    </row>
    <row r="54" spans="1:9" ht="20.100000000000001" customHeight="1" x14ac:dyDescent="0.25">
      <c r="A54" s="248"/>
      <c r="B54" s="246"/>
      <c r="C54" s="246"/>
      <c r="D54" s="246"/>
      <c r="E54" s="246"/>
      <c r="F54" s="246"/>
      <c r="G54" s="377"/>
      <c r="H54" s="246"/>
      <c r="I54" s="246"/>
    </row>
    <row r="55" spans="1:9" ht="20.100000000000001" customHeight="1" x14ac:dyDescent="0.25">
      <c r="A55" s="249"/>
      <c r="B55" s="246"/>
      <c r="C55" s="246"/>
      <c r="D55" s="246"/>
      <c r="E55" s="246"/>
      <c r="F55" s="246"/>
      <c r="G55" s="377"/>
      <c r="H55" s="246"/>
      <c r="I55" s="246"/>
    </row>
    <row r="56" spans="1:9" ht="20.100000000000001" customHeight="1" x14ac:dyDescent="0.25">
      <c r="A56" s="248"/>
      <c r="B56" s="215"/>
      <c r="C56" s="246"/>
      <c r="D56" s="246"/>
      <c r="E56" s="246"/>
      <c r="F56" s="246"/>
      <c r="G56" s="246"/>
      <c r="H56" s="246"/>
      <c r="I56" s="246"/>
    </row>
    <row r="57" spans="1:9" s="250" customFormat="1" ht="13.5" customHeight="1" x14ac:dyDescent="0.25">
      <c r="A57" s="248"/>
      <c r="B57" s="246"/>
      <c r="C57" s="246"/>
      <c r="D57" s="246"/>
      <c r="E57" s="246"/>
      <c r="F57" s="246"/>
      <c r="G57" s="246"/>
      <c r="H57" s="246"/>
      <c r="I57" s="246"/>
    </row>
    <row r="59" spans="1:9" x14ac:dyDescent="0.25">
      <c r="B59" s="215"/>
    </row>
    <row r="60" spans="1:9" ht="15.75" x14ac:dyDescent="0.25">
      <c r="B60" s="342" t="s">
        <v>932</v>
      </c>
      <c r="E60" s="222">
        <f>E18+E19</f>
        <v>942033.45</v>
      </c>
      <c r="G60" s="222">
        <f>G18+G19</f>
        <v>682724.25</v>
      </c>
      <c r="H60" s="222">
        <f t="shared" ref="H60:H69" si="4">G60-E60</f>
        <v>-259309.19999999995</v>
      </c>
      <c r="I60" s="379">
        <f t="shared" ref="I60:I69" si="5">(G60-E60)/G60</f>
        <v>-0.37981542328399781</v>
      </c>
    </row>
    <row r="61" spans="1:9" ht="15.75" x14ac:dyDescent="0.25">
      <c r="B61" s="342" t="s">
        <v>933</v>
      </c>
      <c r="E61" s="222">
        <f>E20+E21</f>
        <v>48162.710000000006</v>
      </c>
      <c r="G61" s="222">
        <f>G20+G21</f>
        <v>69352.929999999993</v>
      </c>
      <c r="H61" s="222">
        <f t="shared" si="4"/>
        <v>21190.219999999987</v>
      </c>
      <c r="I61" s="379">
        <f t="shared" si="5"/>
        <v>0.3055418134460936</v>
      </c>
    </row>
    <row r="62" spans="1:9" ht="15.75" x14ac:dyDescent="0.25">
      <c r="B62" s="342" t="s">
        <v>934</v>
      </c>
      <c r="E62" s="222">
        <f>E22</f>
        <v>29552.23</v>
      </c>
      <c r="G62" s="222">
        <f>G22</f>
        <v>8650</v>
      </c>
      <c r="H62" s="222">
        <f t="shared" si="4"/>
        <v>-20902.23</v>
      </c>
      <c r="I62" s="379">
        <f t="shared" si="5"/>
        <v>-2.416442774566474</v>
      </c>
    </row>
    <row r="63" spans="1:9" ht="15.75" x14ac:dyDescent="0.25">
      <c r="B63" s="342" t="s">
        <v>632</v>
      </c>
      <c r="E63" s="222">
        <f>E23+E24</f>
        <v>58590.450000000012</v>
      </c>
      <c r="G63" s="222">
        <f>G23+G24</f>
        <v>489450.44</v>
      </c>
      <c r="H63" s="222">
        <f t="shared" si="4"/>
        <v>430859.99</v>
      </c>
      <c r="I63" s="379">
        <f t="shared" si="5"/>
        <v>0.88029339599735568</v>
      </c>
    </row>
    <row r="64" spans="1:9" ht="15.75" x14ac:dyDescent="0.25">
      <c r="B64" s="345" t="s">
        <v>935</v>
      </c>
      <c r="E64" s="222">
        <f>E25+E26</f>
        <v>126404.39</v>
      </c>
      <c r="G64" s="222">
        <f>G25+G26</f>
        <v>148512.66999999998</v>
      </c>
      <c r="H64" s="222">
        <f t="shared" si="4"/>
        <v>22108.279999999984</v>
      </c>
      <c r="I64" s="379">
        <f t="shared" si="5"/>
        <v>0.14886460528923215</v>
      </c>
    </row>
    <row r="65" spans="2:9" ht="15.75" x14ac:dyDescent="0.25">
      <c r="B65" s="342" t="s">
        <v>936</v>
      </c>
      <c r="E65" s="222">
        <f>E27+E28</f>
        <v>427050.21000000008</v>
      </c>
      <c r="G65" s="222">
        <f>G27+G28</f>
        <v>435803.62</v>
      </c>
      <c r="H65" s="222">
        <f t="shared" si="4"/>
        <v>8753.4099999999162</v>
      </c>
      <c r="I65" s="379">
        <f t="shared" si="5"/>
        <v>2.0085675286496969E-2</v>
      </c>
    </row>
    <row r="66" spans="2:9" ht="15.75" x14ac:dyDescent="0.25">
      <c r="B66" s="342" t="s">
        <v>937</v>
      </c>
      <c r="E66" s="222">
        <f>E29+E30</f>
        <v>5730350.5599999987</v>
      </c>
      <c r="G66" s="222">
        <f>G29+G30</f>
        <v>5414096.4299999997</v>
      </c>
      <c r="H66" s="222">
        <f t="shared" si="4"/>
        <v>-316254.12999999896</v>
      </c>
      <c r="I66" s="379">
        <f t="shared" si="5"/>
        <v>-5.841309516535504E-2</v>
      </c>
    </row>
    <row r="67" spans="2:9" ht="15.75" x14ac:dyDescent="0.25">
      <c r="B67" s="342" t="s">
        <v>938</v>
      </c>
      <c r="E67" s="222">
        <f>E31+E32</f>
        <v>6548339.5199999996</v>
      </c>
      <c r="G67" s="222">
        <f>G31+G32</f>
        <v>6042160.8899999997</v>
      </c>
      <c r="H67" s="222">
        <f t="shared" si="4"/>
        <v>-506178.62999999989</v>
      </c>
      <c r="I67" s="379">
        <f t="shared" si="5"/>
        <v>-8.377443752577729E-2</v>
      </c>
    </row>
    <row r="68" spans="2:9" ht="15.75" x14ac:dyDescent="0.25">
      <c r="B68" s="342" t="s">
        <v>939</v>
      </c>
      <c r="E68" s="222">
        <f>E33+E34+E35</f>
        <v>1360706.3999999997</v>
      </c>
      <c r="G68" s="222">
        <f>G33+G34+G35</f>
        <v>1249382.3700000001</v>
      </c>
      <c r="H68" s="222">
        <f t="shared" si="4"/>
        <v>-111324.02999999956</v>
      </c>
      <c r="I68" s="379">
        <f t="shared" si="5"/>
        <v>-8.9103250272372217E-2</v>
      </c>
    </row>
    <row r="69" spans="2:9" x14ac:dyDescent="0.25">
      <c r="E69" s="222">
        <f>SUM(E60:E68)</f>
        <v>15271189.919999998</v>
      </c>
      <c r="G69" s="222">
        <f>SUM(G60:G68)</f>
        <v>14540133.600000001</v>
      </c>
      <c r="H69" s="222">
        <f t="shared" si="4"/>
        <v>-731056.31999999657</v>
      </c>
      <c r="I69" s="379">
        <f t="shared" si="5"/>
        <v>-5.0278514634830899E-2</v>
      </c>
    </row>
    <row r="71" spans="2:9" x14ac:dyDescent="0.25">
      <c r="G71" s="375"/>
    </row>
  </sheetData>
  <mergeCells count="5">
    <mergeCell ref="A1:I1"/>
    <mergeCell ref="A2:I2"/>
    <mergeCell ref="A3:I3"/>
    <mergeCell ref="A4:I4"/>
    <mergeCell ref="A45:I45"/>
  </mergeCells>
  <printOptions horizontalCentered="1" verticalCentered="1"/>
  <pageMargins left="0.2" right="0.2" top="0" bottom="0.4" header="0.3" footer="0.25"/>
  <pageSetup scale="68" orientation="landscape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85"/>
  <sheetViews>
    <sheetView zoomScaleNormal="100" workbookViewId="0">
      <pane xSplit="3" ySplit="4" topLeftCell="D414" activePane="bottomRight" state="frozen"/>
      <selection pane="topRight" activeCell="D1" sqref="D1"/>
      <selection pane="bottomLeft" activeCell="A5" sqref="A5"/>
      <selection pane="bottomRight" activeCell="L377" sqref="L377"/>
    </sheetView>
  </sheetViews>
  <sheetFormatPr defaultRowHeight="15" x14ac:dyDescent="0.25"/>
  <cols>
    <col min="2" max="2" width="14" bestFit="1" customWidth="1"/>
    <col min="3" max="3" width="37.42578125" customWidth="1"/>
    <col min="4" max="4" width="16" style="283" bestFit="1" customWidth="1"/>
    <col min="5" max="5" width="17.5703125" style="283" bestFit="1" customWidth="1"/>
    <col min="6" max="6" width="11.28515625" style="347" customWidth="1"/>
    <col min="7" max="12" width="17.28515625" customWidth="1"/>
    <col min="13" max="13" width="7.85546875" hidden="1" customWidth="1"/>
    <col min="14" max="15" width="7.140625" hidden="1" customWidth="1"/>
    <col min="16" max="16" width="6.85546875" hidden="1" customWidth="1"/>
    <col min="17" max="17" width="8" hidden="1" customWidth="1"/>
    <col min="18" max="18" width="7.28515625" hidden="1" customWidth="1"/>
    <col min="19" max="19" width="19" bestFit="1" customWidth="1"/>
    <col min="20" max="20" width="20.42578125" bestFit="1" customWidth="1"/>
    <col min="21" max="21" width="21.140625" bestFit="1" customWidth="1"/>
    <col min="22" max="22" width="12.85546875" style="262" customWidth="1"/>
    <col min="23" max="23" width="16" bestFit="1" customWidth="1"/>
    <col min="24" max="24" width="10.85546875" bestFit="1" customWidth="1"/>
  </cols>
  <sheetData>
    <row r="1" spans="1:28" ht="15.75" x14ac:dyDescent="0.25">
      <c r="A1" s="390" t="s">
        <v>118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2"/>
      <c r="W1" s="258"/>
      <c r="X1" s="258"/>
      <c r="Y1" s="258"/>
      <c r="Z1" s="258"/>
      <c r="AA1" s="258"/>
      <c r="AB1" s="258"/>
    </row>
    <row r="2" spans="1:28" ht="15.75" x14ac:dyDescent="0.25">
      <c r="A2" s="393" t="s">
        <v>867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5"/>
      <c r="W2" s="258"/>
      <c r="X2" s="258"/>
      <c r="Y2" s="258"/>
      <c r="Z2" s="258"/>
      <c r="AA2" s="258"/>
      <c r="AB2" s="258"/>
    </row>
    <row r="3" spans="1:28" ht="15.75" x14ac:dyDescent="0.25">
      <c r="A3" s="396" t="s">
        <v>944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8"/>
      <c r="W3" s="259"/>
      <c r="X3" s="259"/>
      <c r="Y3" s="259"/>
      <c r="Z3" s="259"/>
      <c r="AA3" s="259"/>
      <c r="AB3" s="259"/>
    </row>
    <row r="4" spans="1:28" ht="19.5" thickBot="1" x14ac:dyDescent="0.35">
      <c r="A4" s="399" t="s">
        <v>105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1"/>
      <c r="W4" s="260"/>
      <c r="X4" s="260"/>
      <c r="Y4" s="260"/>
      <c r="Z4" s="260"/>
      <c r="AA4" s="260"/>
      <c r="AB4" s="260"/>
    </row>
    <row r="5" spans="1:28" ht="15.75" thickBot="1" x14ac:dyDescent="0.3"/>
    <row r="6" spans="1:28" ht="15.75" thickBot="1" x14ac:dyDescent="0.3">
      <c r="G6" s="402" t="s">
        <v>253</v>
      </c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4"/>
      <c r="U6" s="311" t="s">
        <v>252</v>
      </c>
    </row>
    <row r="7" spans="1:28" x14ac:dyDescent="0.25">
      <c r="D7" s="361" t="s">
        <v>954</v>
      </c>
      <c r="E7" s="373" t="s">
        <v>956</v>
      </c>
      <c r="G7" s="279" t="s">
        <v>868</v>
      </c>
      <c r="H7" s="279" t="s">
        <v>869</v>
      </c>
      <c r="I7" s="279" t="s">
        <v>870</v>
      </c>
      <c r="J7" s="279" t="s">
        <v>871</v>
      </c>
      <c r="K7" s="279" t="s">
        <v>872</v>
      </c>
      <c r="L7" s="279" t="s">
        <v>873</v>
      </c>
      <c r="M7" s="279" t="s">
        <v>874</v>
      </c>
      <c r="N7" s="279" t="s">
        <v>875</v>
      </c>
      <c r="O7" s="279" t="s">
        <v>876</v>
      </c>
      <c r="P7" s="279" t="s">
        <v>877</v>
      </c>
      <c r="Q7" s="279" t="s">
        <v>878</v>
      </c>
      <c r="R7" s="279" t="s">
        <v>879</v>
      </c>
      <c r="S7" s="310" t="s">
        <v>250</v>
      </c>
      <c r="T7" s="309" t="s">
        <v>880</v>
      </c>
      <c r="U7" s="309" t="s">
        <v>249</v>
      </c>
      <c r="V7" s="276" t="s">
        <v>248</v>
      </c>
    </row>
    <row r="8" spans="1:28" x14ac:dyDescent="0.25">
      <c r="A8" s="13" t="s">
        <v>847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308"/>
    </row>
    <row r="9" spans="1:28" x14ac:dyDescent="0.25">
      <c r="A9" t="s">
        <v>55</v>
      </c>
      <c r="B9" t="s">
        <v>945</v>
      </c>
      <c r="C9" t="s">
        <v>846</v>
      </c>
      <c r="D9" s="283">
        <v>392835.08</v>
      </c>
      <c r="E9" s="283">
        <v>581741.25</v>
      </c>
      <c r="F9" s="348"/>
      <c r="G9" s="265">
        <v>0</v>
      </c>
      <c r="H9" s="265">
        <v>3046.14</v>
      </c>
      <c r="I9" s="265">
        <v>121273.78</v>
      </c>
      <c r="J9" s="265">
        <v>106204.48</v>
      </c>
      <c r="K9" s="265">
        <v>0</v>
      </c>
      <c r="L9" s="265">
        <v>2602.2269999999999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f>SUM(G9:R9)</f>
        <v>233126.62700000001</v>
      </c>
      <c r="T9" s="265">
        <v>649795</v>
      </c>
      <c r="U9" s="265">
        <f t="shared" ref="U9:U16" si="0">S9-T9</f>
        <v>-416668.37300000002</v>
      </c>
      <c r="V9" s="262">
        <f t="shared" ref="V9:V17" si="1">S9/T9</f>
        <v>0.35876949961141591</v>
      </c>
      <c r="W9" s="262"/>
    </row>
    <row r="10" spans="1:28" x14ac:dyDescent="0.25">
      <c r="A10" t="s">
        <v>55</v>
      </c>
      <c r="B10" t="s">
        <v>845</v>
      </c>
      <c r="C10" t="s">
        <v>844</v>
      </c>
      <c r="D10" s="283">
        <v>507199.61</v>
      </c>
      <c r="E10" s="283">
        <v>646264.25</v>
      </c>
      <c r="F10" s="348"/>
      <c r="G10" s="265">
        <v>0</v>
      </c>
      <c r="H10" s="265">
        <v>3530.63</v>
      </c>
      <c r="I10" s="265">
        <v>140562.37</v>
      </c>
      <c r="J10" s="265">
        <v>123096.3</v>
      </c>
      <c r="K10" s="265">
        <v>0</v>
      </c>
      <c r="L10" s="265">
        <v>3016.1120000000001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f t="shared" ref="S10:S16" si="2">SUM(G10:R10)</f>
        <v>270205.41200000001</v>
      </c>
      <c r="T10" s="265">
        <v>624595</v>
      </c>
      <c r="U10" s="265">
        <f t="shared" si="0"/>
        <v>-354389.58799999999</v>
      </c>
      <c r="V10" s="262">
        <f t="shared" si="1"/>
        <v>0.43260898982540691</v>
      </c>
      <c r="W10" s="262"/>
    </row>
    <row r="11" spans="1:28" x14ac:dyDescent="0.25">
      <c r="A11" t="s">
        <v>55</v>
      </c>
      <c r="B11" t="s">
        <v>843</v>
      </c>
      <c r="C11" t="s">
        <v>842</v>
      </c>
      <c r="D11" s="283">
        <v>140955.89000000001</v>
      </c>
      <c r="E11" s="283">
        <v>169710.7</v>
      </c>
      <c r="F11" s="348"/>
      <c r="G11" s="265">
        <v>0</v>
      </c>
      <c r="H11" s="265">
        <v>1041.54</v>
      </c>
      <c r="I11" s="265">
        <v>41465.86</v>
      </c>
      <c r="J11" s="265">
        <v>36313.370000000003</v>
      </c>
      <c r="K11" s="265">
        <v>0</v>
      </c>
      <c r="L11" s="265">
        <v>889.75199999999995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f t="shared" si="2"/>
        <v>79710.521999999997</v>
      </c>
      <c r="T11" s="265">
        <v>197223</v>
      </c>
      <c r="U11" s="265">
        <f t="shared" si="0"/>
        <v>-117512.478</v>
      </c>
      <c r="V11" s="262">
        <f t="shared" si="1"/>
        <v>0.40416443315434813</v>
      </c>
      <c r="W11" s="262"/>
    </row>
    <row r="12" spans="1:28" x14ac:dyDescent="0.25">
      <c r="A12" t="s">
        <v>55</v>
      </c>
      <c r="B12" t="s">
        <v>841</v>
      </c>
      <c r="C12" t="s">
        <v>840</v>
      </c>
      <c r="D12" s="283">
        <v>234627.9</v>
      </c>
      <c r="E12" s="283">
        <v>100879.9</v>
      </c>
      <c r="F12" s="348"/>
      <c r="G12" s="265">
        <v>0</v>
      </c>
      <c r="H12" s="265">
        <v>2472.0100000000002</v>
      </c>
      <c r="I12" s="265">
        <v>98416.320000000007</v>
      </c>
      <c r="J12" s="265">
        <v>86187.27</v>
      </c>
      <c r="K12" s="265">
        <v>0</v>
      </c>
      <c r="L12" s="265">
        <v>2111.7649999999999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f t="shared" si="2"/>
        <v>189187.36500000002</v>
      </c>
      <c r="T12" s="265">
        <v>616788</v>
      </c>
      <c r="U12" s="265">
        <f t="shared" si="0"/>
        <v>-427600.63500000001</v>
      </c>
      <c r="V12" s="262">
        <f t="shared" si="1"/>
        <v>0.30672997042744027</v>
      </c>
      <c r="W12" s="262"/>
    </row>
    <row r="13" spans="1:28" x14ac:dyDescent="0.25">
      <c r="A13" t="s">
        <v>55</v>
      </c>
      <c r="B13" t="s">
        <v>839</v>
      </c>
      <c r="C13" t="s">
        <v>838</v>
      </c>
      <c r="D13" s="283">
        <v>2225154.66</v>
      </c>
      <c r="E13" s="283">
        <v>1022068.05</v>
      </c>
      <c r="F13" s="348"/>
      <c r="G13" s="265">
        <v>0</v>
      </c>
      <c r="H13" s="265">
        <v>0</v>
      </c>
      <c r="I13" s="265">
        <v>361776.72</v>
      </c>
      <c r="J13" s="265">
        <v>0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f t="shared" si="2"/>
        <v>361776.72</v>
      </c>
      <c r="T13" s="265">
        <v>1946510</v>
      </c>
      <c r="U13" s="265">
        <f t="shared" si="0"/>
        <v>-1584733.28</v>
      </c>
      <c r="V13" s="262">
        <f t="shared" si="1"/>
        <v>0.18585916332307564</v>
      </c>
      <c r="W13" s="262"/>
    </row>
    <row r="14" spans="1:28" x14ac:dyDescent="0.25">
      <c r="A14" t="s">
        <v>55</v>
      </c>
      <c r="B14" t="s">
        <v>837</v>
      </c>
      <c r="C14" t="s">
        <v>836</v>
      </c>
      <c r="D14" s="283">
        <v>1363049.66</v>
      </c>
      <c r="E14" s="283">
        <v>1513923.3</v>
      </c>
      <c r="F14" s="348"/>
      <c r="G14" s="265">
        <v>0</v>
      </c>
      <c r="H14" s="265">
        <v>0</v>
      </c>
      <c r="I14" s="265">
        <v>246871.75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f t="shared" si="2"/>
        <v>246871.75</v>
      </c>
      <c r="T14" s="265">
        <v>1327642</v>
      </c>
      <c r="U14" s="265">
        <f t="shared" si="0"/>
        <v>-1080770.25</v>
      </c>
      <c r="V14" s="262">
        <f t="shared" si="1"/>
        <v>0.18594752952979796</v>
      </c>
      <c r="W14" s="262"/>
    </row>
    <row r="15" spans="1:28" x14ac:dyDescent="0.25">
      <c r="A15" t="s">
        <v>55</v>
      </c>
      <c r="B15" t="s">
        <v>835</v>
      </c>
      <c r="C15" t="s">
        <v>834</v>
      </c>
      <c r="D15" s="283">
        <v>39616.89</v>
      </c>
      <c r="E15" s="283">
        <v>49379.7</v>
      </c>
      <c r="F15" s="348"/>
      <c r="G15" s="265">
        <v>0</v>
      </c>
      <c r="H15" s="265">
        <v>279.26</v>
      </c>
      <c r="I15" s="265">
        <v>11118.02</v>
      </c>
      <c r="J15" s="265">
        <v>9736.51</v>
      </c>
      <c r="K15" s="265">
        <v>0</v>
      </c>
      <c r="L15" s="265">
        <v>238.56399999999999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f t="shared" si="2"/>
        <v>21372.353999999999</v>
      </c>
      <c r="T15" s="265">
        <v>50148</v>
      </c>
      <c r="U15" s="265">
        <f t="shared" si="0"/>
        <v>-28775.646000000001</v>
      </c>
      <c r="V15" s="262">
        <f t="shared" si="1"/>
        <v>0.42618557071069635</v>
      </c>
      <c r="W15" s="262"/>
    </row>
    <row r="16" spans="1:28" x14ac:dyDescent="0.25">
      <c r="A16" t="s">
        <v>55</v>
      </c>
      <c r="B16" t="s">
        <v>833</v>
      </c>
      <c r="C16" t="s">
        <v>832</v>
      </c>
      <c r="D16" s="283">
        <v>507199.63</v>
      </c>
      <c r="E16" s="283">
        <v>646264.25</v>
      </c>
      <c r="F16" s="348"/>
      <c r="G16" s="265">
        <v>0</v>
      </c>
      <c r="H16" s="265">
        <v>3530.63</v>
      </c>
      <c r="I16" s="265">
        <v>140562.37</v>
      </c>
      <c r="J16" s="265">
        <v>123096.31</v>
      </c>
      <c r="K16" s="265">
        <v>0</v>
      </c>
      <c r="L16" s="265">
        <v>3016.1120000000001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f t="shared" si="2"/>
        <v>270205.42200000002</v>
      </c>
      <c r="T16" s="265">
        <v>624595</v>
      </c>
      <c r="U16" s="265">
        <f t="shared" si="0"/>
        <v>-354389.57799999998</v>
      </c>
      <c r="V16" s="262">
        <f t="shared" si="1"/>
        <v>0.4326090058357816</v>
      </c>
      <c r="W16" s="262"/>
    </row>
    <row r="17" spans="1:23" ht="15.75" thickBot="1" x14ac:dyDescent="0.3">
      <c r="D17" s="362">
        <v>5410639.3199999994</v>
      </c>
      <c r="E17" s="305">
        <v>4730231.4000000004</v>
      </c>
      <c r="F17" s="349"/>
      <c r="G17" s="305">
        <f t="shared" ref="G17:R17" si="3">SUM(G9:G16)</f>
        <v>0</v>
      </c>
      <c r="H17" s="305">
        <f t="shared" si="3"/>
        <v>13900.21</v>
      </c>
      <c r="I17" s="305">
        <f t="shared" si="3"/>
        <v>1162047.19</v>
      </c>
      <c r="J17" s="305">
        <f t="shared" si="3"/>
        <v>484634.24000000005</v>
      </c>
      <c r="K17" s="305">
        <f t="shared" si="3"/>
        <v>0</v>
      </c>
      <c r="L17" s="307">
        <f t="shared" si="3"/>
        <v>11874.531999999999</v>
      </c>
      <c r="M17" s="307">
        <f t="shared" si="3"/>
        <v>0</v>
      </c>
      <c r="N17" s="307">
        <f t="shared" si="3"/>
        <v>0</v>
      </c>
      <c r="O17" s="305">
        <f t="shared" si="3"/>
        <v>0</v>
      </c>
      <c r="P17" s="305">
        <f t="shared" si="3"/>
        <v>0</v>
      </c>
      <c r="Q17" s="305">
        <f t="shared" si="3"/>
        <v>0</v>
      </c>
      <c r="R17" s="305">
        <f t="shared" si="3"/>
        <v>0</v>
      </c>
      <c r="S17" s="305">
        <f>SUM(S9:S16)</f>
        <v>1672456.172</v>
      </c>
      <c r="T17" s="305">
        <f>SUM(T9:T16)</f>
        <v>6037296</v>
      </c>
      <c r="U17" s="305">
        <f>SUM(U9:U16)</f>
        <v>-4364839.8280000007</v>
      </c>
      <c r="V17" s="272">
        <f t="shared" si="1"/>
        <v>0.27702073444800451</v>
      </c>
      <c r="W17" s="263"/>
    </row>
    <row r="18" spans="1:23" x14ac:dyDescent="0.25">
      <c r="A18" s="13" t="s">
        <v>831</v>
      </c>
      <c r="G18" s="265"/>
      <c r="H18" s="265"/>
      <c r="I18" s="265"/>
      <c r="J18" s="265"/>
      <c r="K18" s="265"/>
      <c r="L18" s="274"/>
      <c r="M18" s="274"/>
      <c r="N18" s="274"/>
      <c r="O18" s="265"/>
      <c r="P18" s="265"/>
      <c r="Q18" s="265"/>
      <c r="R18" s="265"/>
      <c r="S18" s="265"/>
      <c r="T18" s="265"/>
      <c r="U18" s="265"/>
      <c r="W18" s="263"/>
    </row>
    <row r="19" spans="1:23" x14ac:dyDescent="0.25">
      <c r="A19" t="s">
        <v>55</v>
      </c>
      <c r="B19" s="306" t="s">
        <v>830</v>
      </c>
      <c r="C19" t="s">
        <v>829</v>
      </c>
      <c r="D19" s="283">
        <v>3504522.44</v>
      </c>
      <c r="E19" s="283">
        <v>3573500</v>
      </c>
      <c r="F19" s="348"/>
      <c r="G19" s="265">
        <v>504743.9</v>
      </c>
      <c r="H19" s="265">
        <v>163937.73000000001</v>
      </c>
      <c r="I19" s="265">
        <f>290651.95+120637.31</f>
        <v>411289.26</v>
      </c>
      <c r="J19" s="265">
        <v>340328.16</v>
      </c>
      <c r="K19" s="265">
        <v>346904.95</v>
      </c>
      <c r="L19" s="265">
        <v>311435.65999999997</v>
      </c>
      <c r="M19" s="265">
        <v>0</v>
      </c>
      <c r="N19" s="265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f t="shared" ref="S19:S27" si="4">SUM(G19:R19)</f>
        <v>2078639.66</v>
      </c>
      <c r="T19" s="265">
        <v>3573500</v>
      </c>
      <c r="U19" s="265">
        <f t="shared" ref="U19:U27" si="5">S19-T19</f>
        <v>-1494860.34</v>
      </c>
      <c r="V19" s="262">
        <f t="shared" ref="V19:V28" si="6">S19/T19</f>
        <v>0.58168172939694973</v>
      </c>
      <c r="W19" s="263"/>
    </row>
    <row r="20" spans="1:23" x14ac:dyDescent="0.25">
      <c r="A20" t="s">
        <v>55</v>
      </c>
      <c r="B20" s="306" t="s">
        <v>828</v>
      </c>
      <c r="C20" t="s">
        <v>827</v>
      </c>
      <c r="D20" s="283">
        <v>479322.68</v>
      </c>
      <c r="E20" s="283">
        <v>590000</v>
      </c>
      <c r="F20" s="348"/>
      <c r="G20" s="265">
        <v>90964.78</v>
      </c>
      <c r="H20" s="265">
        <v>80881.25</v>
      </c>
      <c r="I20" s="265">
        <v>0</v>
      </c>
      <c r="J20" s="265">
        <v>95043.04</v>
      </c>
      <c r="K20" s="265">
        <v>60865.37</v>
      </c>
      <c r="L20" s="265">
        <v>58227.4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f t="shared" si="4"/>
        <v>385981.84</v>
      </c>
      <c r="T20" s="265">
        <v>450000</v>
      </c>
      <c r="U20" s="265">
        <f t="shared" si="5"/>
        <v>-64018.159999999974</v>
      </c>
      <c r="V20" s="262">
        <f t="shared" si="6"/>
        <v>0.85773742222222227</v>
      </c>
      <c r="W20" s="263"/>
    </row>
    <row r="21" spans="1:23" x14ac:dyDescent="0.25">
      <c r="A21" t="s">
        <v>55</v>
      </c>
      <c r="B21" s="306" t="s">
        <v>826</v>
      </c>
      <c r="C21" t="s">
        <v>825</v>
      </c>
      <c r="D21" s="283">
        <v>146058.73000000001</v>
      </c>
      <c r="E21" s="283">
        <v>180000</v>
      </c>
      <c r="F21" s="348"/>
      <c r="G21" s="265">
        <v>7095.7099999999991</v>
      </c>
      <c r="H21" s="265">
        <v>16228.32</v>
      </c>
      <c r="I21" s="265">
        <v>6211.54</v>
      </c>
      <c r="J21" s="265">
        <v>6044.69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0</v>
      </c>
      <c r="Q21" s="265">
        <v>0</v>
      </c>
      <c r="R21" s="265">
        <v>0</v>
      </c>
      <c r="S21" s="265">
        <f t="shared" si="4"/>
        <v>35580.26</v>
      </c>
      <c r="T21" s="265">
        <v>107000</v>
      </c>
      <c r="U21" s="265">
        <f t="shared" si="5"/>
        <v>-71419.739999999991</v>
      </c>
      <c r="V21" s="262">
        <f t="shared" si="6"/>
        <v>0.33252579439252339</v>
      </c>
      <c r="W21" s="263"/>
    </row>
    <row r="22" spans="1:23" x14ac:dyDescent="0.25">
      <c r="A22" t="s">
        <v>55</v>
      </c>
      <c r="B22" s="306" t="s">
        <v>824</v>
      </c>
      <c r="C22" t="s">
        <v>823</v>
      </c>
      <c r="D22" s="283">
        <v>300642.3</v>
      </c>
      <c r="E22" s="283">
        <v>350000</v>
      </c>
      <c r="F22" s="348"/>
      <c r="G22" s="265">
        <v>44555.34</v>
      </c>
      <c r="H22" s="265">
        <v>47057.33</v>
      </c>
      <c r="I22" s="265">
        <v>22339.05</v>
      </c>
      <c r="J22" s="265">
        <v>32348.78</v>
      </c>
      <c r="K22" s="265">
        <v>22456.31</v>
      </c>
      <c r="L22" s="265">
        <v>32190.41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f t="shared" si="4"/>
        <v>200947.22</v>
      </c>
      <c r="T22" s="265">
        <v>330000</v>
      </c>
      <c r="U22" s="265">
        <f t="shared" si="5"/>
        <v>-129052.78</v>
      </c>
      <c r="V22" s="262">
        <f t="shared" si="6"/>
        <v>0.60893096969696969</v>
      </c>
      <c r="W22" s="263"/>
    </row>
    <row r="23" spans="1:23" x14ac:dyDescent="0.25">
      <c r="A23" t="s">
        <v>55</v>
      </c>
      <c r="B23" s="306" t="s">
        <v>822</v>
      </c>
      <c r="C23" t="s">
        <v>821</v>
      </c>
      <c r="D23" s="283">
        <v>11049.9</v>
      </c>
      <c r="E23" s="283">
        <v>39500</v>
      </c>
      <c r="F23" s="348"/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f t="shared" si="4"/>
        <v>0</v>
      </c>
      <c r="T23" s="265">
        <v>17433</v>
      </c>
      <c r="U23" s="265">
        <f t="shared" si="5"/>
        <v>-17433</v>
      </c>
      <c r="V23" s="262">
        <f t="shared" si="6"/>
        <v>0</v>
      </c>
      <c r="W23" s="263"/>
    </row>
    <row r="24" spans="1:23" x14ac:dyDescent="0.25">
      <c r="A24" t="s">
        <v>55</v>
      </c>
      <c r="B24" s="306" t="s">
        <v>820</v>
      </c>
      <c r="C24" t="s">
        <v>819</v>
      </c>
      <c r="D24" s="283">
        <v>94457.919999999998</v>
      </c>
      <c r="E24" s="283">
        <v>91000</v>
      </c>
      <c r="F24" s="348"/>
      <c r="G24" s="265">
        <v>0</v>
      </c>
      <c r="H24" s="265">
        <v>0</v>
      </c>
      <c r="I24" s="265">
        <v>0</v>
      </c>
      <c r="J24" s="265">
        <v>22542.27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f t="shared" si="4"/>
        <v>22542.27</v>
      </c>
      <c r="T24" s="265">
        <v>95000</v>
      </c>
      <c r="U24" s="265">
        <f t="shared" si="5"/>
        <v>-72457.73</v>
      </c>
      <c r="V24" s="262">
        <f t="shared" si="6"/>
        <v>0.23728705263157895</v>
      </c>
      <c r="W24" s="263"/>
    </row>
    <row r="25" spans="1:23" x14ac:dyDescent="0.25">
      <c r="A25" t="s">
        <v>55</v>
      </c>
      <c r="B25" s="306" t="s">
        <v>818</v>
      </c>
      <c r="C25" t="s">
        <v>817</v>
      </c>
      <c r="D25" s="283">
        <v>49273.4</v>
      </c>
      <c r="E25" s="283">
        <v>15000</v>
      </c>
      <c r="F25" s="348"/>
      <c r="G25" s="265">
        <v>5766.74</v>
      </c>
      <c r="H25" s="265">
        <v>14779.13</v>
      </c>
      <c r="I25" s="265">
        <v>6455.97</v>
      </c>
      <c r="J25" s="265">
        <v>6948.2</v>
      </c>
      <c r="K25" s="265">
        <v>6182.48</v>
      </c>
      <c r="L25" s="265">
        <v>6859.82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f t="shared" si="4"/>
        <v>46992.340000000004</v>
      </c>
      <c r="T25" s="265">
        <v>45000</v>
      </c>
      <c r="U25" s="265">
        <f t="shared" si="5"/>
        <v>1992.3400000000038</v>
      </c>
      <c r="V25" s="262">
        <f t="shared" si="6"/>
        <v>1.0442742222222223</v>
      </c>
      <c r="W25" s="263"/>
    </row>
    <row r="26" spans="1:23" x14ac:dyDescent="0.25">
      <c r="A26" t="s">
        <v>55</v>
      </c>
      <c r="B26" s="306" t="s">
        <v>816</v>
      </c>
      <c r="C26" t="s">
        <v>815</v>
      </c>
      <c r="D26" s="283">
        <v>70.930000000000007</v>
      </c>
      <c r="E26" s="283">
        <v>0</v>
      </c>
      <c r="F26" s="348"/>
      <c r="G26" s="265">
        <v>13.780000000000001</v>
      </c>
      <c r="H26" s="265">
        <v>10.82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f t="shared" si="4"/>
        <v>24.6</v>
      </c>
      <c r="T26" s="265">
        <v>75</v>
      </c>
      <c r="U26" s="265">
        <f t="shared" si="5"/>
        <v>-50.4</v>
      </c>
      <c r="V26" s="262">
        <f t="shared" si="6"/>
        <v>0.32800000000000001</v>
      </c>
      <c r="W26" s="263"/>
    </row>
    <row r="27" spans="1:23" x14ac:dyDescent="0.25">
      <c r="A27" t="s">
        <v>55</v>
      </c>
      <c r="B27" s="306" t="s">
        <v>814</v>
      </c>
      <c r="C27" t="s">
        <v>813</v>
      </c>
      <c r="D27" s="283">
        <v>191979.85</v>
      </c>
      <c r="E27" s="283">
        <v>150000</v>
      </c>
      <c r="F27" s="348"/>
      <c r="G27" s="265">
        <v>15109.14</v>
      </c>
      <c r="H27" s="265">
        <v>34302.67</v>
      </c>
      <c r="I27" s="265">
        <v>0</v>
      </c>
      <c r="J27" s="265">
        <v>34235.21</v>
      </c>
      <c r="K27" s="265">
        <v>19125.21</v>
      </c>
      <c r="L27" s="265">
        <v>18552.91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f t="shared" si="4"/>
        <v>121325.13999999998</v>
      </c>
      <c r="T27" s="265">
        <v>90000</v>
      </c>
      <c r="U27" s="265">
        <f t="shared" si="5"/>
        <v>31325.139999999985</v>
      </c>
      <c r="V27" s="262">
        <f t="shared" si="6"/>
        <v>1.348057111111111</v>
      </c>
      <c r="W27" s="263"/>
    </row>
    <row r="28" spans="1:23" ht="15.75" thickBot="1" x14ac:dyDescent="0.3">
      <c r="B28" s="292"/>
      <c r="D28" s="362">
        <v>4777378.1500000004</v>
      </c>
      <c r="E28" s="305">
        <v>4989000</v>
      </c>
      <c r="F28" s="349"/>
      <c r="G28" s="305">
        <f t="shared" ref="G28:S28" si="7">SUM(G19:G27)</f>
        <v>668249.39</v>
      </c>
      <c r="H28" s="305">
        <f t="shared" si="7"/>
        <v>357197.25</v>
      </c>
      <c r="I28" s="305">
        <f t="shared" si="7"/>
        <v>446295.81999999995</v>
      </c>
      <c r="J28" s="305">
        <f t="shared" si="7"/>
        <v>537490.35</v>
      </c>
      <c r="K28" s="305">
        <f t="shared" si="7"/>
        <v>455534.32</v>
      </c>
      <c r="L28" s="305">
        <f t="shared" si="7"/>
        <v>427266.19999999995</v>
      </c>
      <c r="M28" s="305">
        <f t="shared" si="7"/>
        <v>0</v>
      </c>
      <c r="N28" s="305">
        <f t="shared" si="7"/>
        <v>0</v>
      </c>
      <c r="O28" s="305">
        <f t="shared" si="7"/>
        <v>0</v>
      </c>
      <c r="P28" s="305">
        <f t="shared" si="7"/>
        <v>0</v>
      </c>
      <c r="Q28" s="305">
        <f t="shared" si="7"/>
        <v>0</v>
      </c>
      <c r="R28" s="305">
        <f t="shared" si="7"/>
        <v>0</v>
      </c>
      <c r="S28" s="305">
        <f t="shared" si="7"/>
        <v>2892033.33</v>
      </c>
      <c r="T28" s="305">
        <f>SUM(T19:T27)</f>
        <v>4708008</v>
      </c>
      <c r="U28" s="305">
        <f>SUM(U19:U27)</f>
        <v>-1815974.67</v>
      </c>
      <c r="V28" s="272">
        <f t="shared" si="6"/>
        <v>0.61427961252402297</v>
      </c>
      <c r="W28" s="263"/>
    </row>
    <row r="29" spans="1:23" x14ac:dyDescent="0.25">
      <c r="B29" s="292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</row>
    <row r="30" spans="1:23" x14ac:dyDescent="0.25">
      <c r="A30" s="13" t="s">
        <v>812</v>
      </c>
      <c r="B30" s="292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W30" s="263"/>
    </row>
    <row r="31" spans="1:23" x14ac:dyDescent="0.25">
      <c r="A31" t="s">
        <v>55</v>
      </c>
      <c r="B31" s="304" t="s">
        <v>811</v>
      </c>
      <c r="C31" t="s">
        <v>810</v>
      </c>
      <c r="D31" s="283">
        <v>878332.37</v>
      </c>
      <c r="E31" s="283">
        <v>794375</v>
      </c>
      <c r="G31" s="265">
        <v>67352.760000000009</v>
      </c>
      <c r="H31" s="265">
        <v>159043.88</v>
      </c>
      <c r="I31" s="265">
        <v>0</v>
      </c>
      <c r="J31" s="265">
        <v>117831.33</v>
      </c>
      <c r="K31" s="265">
        <v>48681.25</v>
      </c>
      <c r="L31" s="265">
        <v>75659.66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f>SUM(G31:R31)</f>
        <v>468568.88</v>
      </c>
      <c r="T31" s="265">
        <v>975000</v>
      </c>
      <c r="U31" s="265">
        <f>S31-T31</f>
        <v>-506431.12</v>
      </c>
      <c r="V31" s="262">
        <f>S31/T31</f>
        <v>0.48058346666666668</v>
      </c>
      <c r="W31" s="263"/>
    </row>
    <row r="32" spans="1:23" x14ac:dyDescent="0.25">
      <c r="A32" t="s">
        <v>55</v>
      </c>
      <c r="B32" s="292" t="s">
        <v>809</v>
      </c>
      <c r="C32" t="s">
        <v>808</v>
      </c>
      <c r="D32" s="283">
        <v>592632.59</v>
      </c>
      <c r="E32" s="283">
        <v>564000</v>
      </c>
      <c r="G32" s="265">
        <v>251299.78</v>
      </c>
      <c r="H32" s="265">
        <v>0</v>
      </c>
      <c r="I32" s="265">
        <v>98845.02</v>
      </c>
      <c r="J32" s="265">
        <v>9989.9500000000007</v>
      </c>
      <c r="K32" s="265">
        <v>0</v>
      </c>
      <c r="L32" s="265">
        <v>89451.28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f>SUM(G32:R32)</f>
        <v>449586.03</v>
      </c>
      <c r="T32" s="265">
        <v>520000</v>
      </c>
      <c r="U32" s="265">
        <f>S32-T32</f>
        <v>-70413.969999999972</v>
      </c>
      <c r="V32" s="262">
        <f>S32/T32</f>
        <v>0.86458851923076929</v>
      </c>
      <c r="W32" s="263"/>
    </row>
    <row r="33" spans="1:23" x14ac:dyDescent="0.25">
      <c r="A33" t="s">
        <v>55</v>
      </c>
      <c r="B33" s="292" t="s">
        <v>807</v>
      </c>
      <c r="C33" t="s">
        <v>806</v>
      </c>
      <c r="D33" s="283">
        <v>0</v>
      </c>
      <c r="E33" s="283">
        <v>200000</v>
      </c>
      <c r="G33" s="265">
        <v>0</v>
      </c>
      <c r="H33" s="265">
        <v>0</v>
      </c>
      <c r="I33" s="265">
        <v>0</v>
      </c>
      <c r="J33" s="265">
        <v>0</v>
      </c>
      <c r="K33" s="265">
        <v>0</v>
      </c>
      <c r="L33" s="265">
        <v>0</v>
      </c>
      <c r="M33" s="265">
        <v>0</v>
      </c>
      <c r="N33" s="265">
        <v>0</v>
      </c>
      <c r="O33" s="265">
        <v>0</v>
      </c>
      <c r="P33" s="265">
        <v>0</v>
      </c>
      <c r="Q33" s="265">
        <v>0</v>
      </c>
      <c r="R33" s="265">
        <v>0</v>
      </c>
      <c r="S33" s="265">
        <f>SUM(G33:R33)</f>
        <v>0</v>
      </c>
      <c r="T33" s="265">
        <v>315000</v>
      </c>
      <c r="U33" s="265">
        <f>S33-T33</f>
        <v>-315000</v>
      </c>
      <c r="V33" s="262">
        <f>S33/T33</f>
        <v>0</v>
      </c>
      <c r="W33" s="263"/>
    </row>
    <row r="34" spans="1:23" x14ac:dyDescent="0.25">
      <c r="B34" s="292" t="s">
        <v>805</v>
      </c>
      <c r="C34" t="s">
        <v>804</v>
      </c>
      <c r="D34" s="283">
        <v>0</v>
      </c>
      <c r="E34" s="283">
        <v>137000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5">
        <v>0</v>
      </c>
      <c r="M34" s="265">
        <v>0</v>
      </c>
      <c r="N34" s="265">
        <v>0</v>
      </c>
      <c r="O34" s="265">
        <v>0</v>
      </c>
      <c r="P34" s="265">
        <v>0</v>
      </c>
      <c r="Q34" s="265">
        <v>0</v>
      </c>
      <c r="R34" s="265">
        <v>0</v>
      </c>
      <c r="S34" s="265">
        <f>SUM(G34:R34)</f>
        <v>0</v>
      </c>
      <c r="T34" s="265">
        <v>70000</v>
      </c>
      <c r="U34" s="265">
        <f>S34-T34</f>
        <v>-70000</v>
      </c>
      <c r="V34" s="262">
        <f>S34/T34</f>
        <v>0</v>
      </c>
      <c r="W34" s="263"/>
    </row>
    <row r="35" spans="1:23" ht="15.75" thickBot="1" x14ac:dyDescent="0.3">
      <c r="B35" s="292"/>
      <c r="D35" s="363">
        <v>1470964.96</v>
      </c>
      <c r="E35" s="273">
        <v>1695375</v>
      </c>
      <c r="F35" s="350"/>
      <c r="G35" s="273">
        <f t="shared" ref="G35:S35" si="8">SUM(G31:G34)</f>
        <v>318652.54000000004</v>
      </c>
      <c r="H35" s="273">
        <f t="shared" si="8"/>
        <v>159043.88</v>
      </c>
      <c r="I35" s="273">
        <f t="shared" si="8"/>
        <v>98845.02</v>
      </c>
      <c r="J35" s="273">
        <f t="shared" si="8"/>
        <v>127821.28</v>
      </c>
      <c r="K35" s="273">
        <f t="shared" si="8"/>
        <v>48681.25</v>
      </c>
      <c r="L35" s="273">
        <f t="shared" si="8"/>
        <v>165110.94</v>
      </c>
      <c r="M35" s="273">
        <f t="shared" si="8"/>
        <v>0</v>
      </c>
      <c r="N35" s="273">
        <f t="shared" si="8"/>
        <v>0</v>
      </c>
      <c r="O35" s="273">
        <f t="shared" si="8"/>
        <v>0</v>
      </c>
      <c r="P35" s="273">
        <f t="shared" si="8"/>
        <v>0</v>
      </c>
      <c r="Q35" s="273">
        <f t="shared" si="8"/>
        <v>0</v>
      </c>
      <c r="R35" s="273">
        <f t="shared" si="8"/>
        <v>0</v>
      </c>
      <c r="S35" s="273">
        <f t="shared" si="8"/>
        <v>918154.91</v>
      </c>
      <c r="T35" s="273">
        <f>SUM(T31:T34)</f>
        <v>1880000</v>
      </c>
      <c r="U35" s="273">
        <f>SUM(U31:U34)</f>
        <v>-961845.09</v>
      </c>
      <c r="V35" s="272">
        <f>S35/T35</f>
        <v>0.48838027127659578</v>
      </c>
      <c r="W35" s="263"/>
    </row>
    <row r="36" spans="1:23" ht="15.75" thickTop="1" x14ac:dyDescent="0.25">
      <c r="A36" s="13" t="s">
        <v>803</v>
      </c>
      <c r="B36" s="292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W36" s="263"/>
    </row>
    <row r="37" spans="1:23" x14ac:dyDescent="0.25">
      <c r="A37" t="s">
        <v>55</v>
      </c>
      <c r="B37" s="292" t="s">
        <v>802</v>
      </c>
      <c r="C37" t="s">
        <v>801</v>
      </c>
      <c r="D37" s="283">
        <v>35200</v>
      </c>
      <c r="E37" s="283">
        <v>35200</v>
      </c>
      <c r="G37" s="265">
        <v>0</v>
      </c>
      <c r="H37" s="265">
        <v>0</v>
      </c>
      <c r="I37" s="265">
        <v>0</v>
      </c>
      <c r="J37" s="265">
        <v>0</v>
      </c>
      <c r="K37" s="265">
        <v>0</v>
      </c>
      <c r="L37" s="265">
        <v>0</v>
      </c>
      <c r="M37" s="265">
        <v>0</v>
      </c>
      <c r="N37" s="265">
        <v>0</v>
      </c>
      <c r="O37" s="265">
        <v>0</v>
      </c>
      <c r="P37" s="265">
        <v>0</v>
      </c>
      <c r="Q37" s="265">
        <v>0</v>
      </c>
      <c r="R37" s="265">
        <v>0</v>
      </c>
      <c r="S37" s="265">
        <f t="shared" ref="S37:S51" si="9">SUM(G37:R37)</f>
        <v>0</v>
      </c>
      <c r="T37" s="265">
        <v>30000</v>
      </c>
      <c r="U37" s="265">
        <f t="shared" ref="U37:U51" si="10">S37-T37</f>
        <v>-30000</v>
      </c>
      <c r="V37" s="262">
        <f t="shared" ref="V37:V52" si="11">S37/T37</f>
        <v>0</v>
      </c>
      <c r="W37" s="263"/>
    </row>
    <row r="38" spans="1:23" x14ac:dyDescent="0.25">
      <c r="A38" t="s">
        <v>55</v>
      </c>
      <c r="B38" s="292" t="s">
        <v>800</v>
      </c>
      <c r="C38" t="s">
        <v>799</v>
      </c>
      <c r="D38" s="283">
        <v>107951.18</v>
      </c>
      <c r="E38" s="283">
        <v>109500</v>
      </c>
      <c r="G38" s="265">
        <v>0</v>
      </c>
      <c r="H38" s="265">
        <v>0</v>
      </c>
      <c r="I38" s="265">
        <v>0</v>
      </c>
      <c r="J38" s="265">
        <v>0</v>
      </c>
      <c r="K38" s="265">
        <v>0</v>
      </c>
      <c r="L38" s="265">
        <v>0</v>
      </c>
      <c r="M38" s="265">
        <v>0</v>
      </c>
      <c r="N38" s="265">
        <v>0</v>
      </c>
      <c r="O38" s="265">
        <v>0</v>
      </c>
      <c r="P38" s="265">
        <v>0</v>
      </c>
      <c r="Q38" s="265">
        <v>0</v>
      </c>
      <c r="R38" s="265">
        <v>0</v>
      </c>
      <c r="S38" s="265">
        <f t="shared" si="9"/>
        <v>0</v>
      </c>
      <c r="T38" s="265">
        <v>105000</v>
      </c>
      <c r="U38" s="265">
        <f t="shared" si="10"/>
        <v>-105000</v>
      </c>
      <c r="V38" s="262">
        <f t="shared" si="11"/>
        <v>0</v>
      </c>
      <c r="W38" s="263"/>
    </row>
    <row r="39" spans="1:23" x14ac:dyDescent="0.25">
      <c r="A39" t="s">
        <v>55</v>
      </c>
      <c r="B39" s="292" t="s">
        <v>798</v>
      </c>
      <c r="C39" t="s">
        <v>797</v>
      </c>
      <c r="D39" s="283">
        <v>112555</v>
      </c>
      <c r="E39" s="283">
        <v>100000</v>
      </c>
      <c r="G39" s="265">
        <v>18925</v>
      </c>
      <c r="H39" s="265">
        <v>30941</v>
      </c>
      <c r="I39" s="265">
        <v>5635</v>
      </c>
      <c r="J39" s="265">
        <v>4460</v>
      </c>
      <c r="K39" s="265">
        <v>2795</v>
      </c>
      <c r="L39" s="265">
        <v>2350</v>
      </c>
      <c r="M39" s="265">
        <v>0</v>
      </c>
      <c r="N39" s="265">
        <v>0</v>
      </c>
      <c r="O39" s="265">
        <v>0</v>
      </c>
      <c r="P39" s="265">
        <v>0</v>
      </c>
      <c r="Q39" s="265">
        <v>0</v>
      </c>
      <c r="R39" s="265">
        <v>0</v>
      </c>
      <c r="S39" s="265">
        <f t="shared" si="9"/>
        <v>65106</v>
      </c>
      <c r="T39" s="265">
        <v>98000</v>
      </c>
      <c r="U39" s="265">
        <f t="shared" si="10"/>
        <v>-32894</v>
      </c>
      <c r="V39" s="262">
        <f t="shared" si="11"/>
        <v>0.66434693877551021</v>
      </c>
      <c r="W39" s="263"/>
    </row>
    <row r="40" spans="1:23" x14ac:dyDescent="0.25">
      <c r="A40" t="s">
        <v>55</v>
      </c>
      <c r="B40" s="292" t="s">
        <v>796</v>
      </c>
      <c r="C40" t="s">
        <v>795</v>
      </c>
      <c r="D40" s="283">
        <v>195</v>
      </c>
      <c r="E40" s="283">
        <v>3900</v>
      </c>
      <c r="G40" s="265">
        <v>45</v>
      </c>
      <c r="H40" s="265">
        <v>35</v>
      </c>
      <c r="I40" s="265">
        <v>15</v>
      </c>
      <c r="J40" s="265">
        <v>10</v>
      </c>
      <c r="K40" s="265">
        <v>0</v>
      </c>
      <c r="L40" s="265">
        <v>10</v>
      </c>
      <c r="M40" s="265">
        <v>0</v>
      </c>
      <c r="N40" s="265">
        <v>0</v>
      </c>
      <c r="O40" s="265">
        <v>0</v>
      </c>
      <c r="P40" s="265">
        <v>0</v>
      </c>
      <c r="Q40" s="265">
        <v>0</v>
      </c>
      <c r="R40" s="265">
        <v>0</v>
      </c>
      <c r="S40" s="265">
        <f t="shared" si="9"/>
        <v>115</v>
      </c>
      <c r="T40" s="265">
        <v>0</v>
      </c>
      <c r="U40" s="265">
        <f t="shared" si="10"/>
        <v>115</v>
      </c>
      <c r="V40" s="262">
        <v>0</v>
      </c>
      <c r="W40" s="263"/>
    </row>
    <row r="41" spans="1:23" x14ac:dyDescent="0.25">
      <c r="A41" t="s">
        <v>55</v>
      </c>
      <c r="B41" s="292" t="s">
        <v>794</v>
      </c>
      <c r="C41" t="s">
        <v>793</v>
      </c>
      <c r="D41" s="283">
        <v>22700</v>
      </c>
      <c r="E41" s="283">
        <v>30000</v>
      </c>
      <c r="G41" s="265">
        <v>2200</v>
      </c>
      <c r="H41" s="265">
        <v>5050</v>
      </c>
      <c r="I41" s="265">
        <v>1700</v>
      </c>
      <c r="J41" s="265">
        <v>2300</v>
      </c>
      <c r="K41" s="265">
        <v>950</v>
      </c>
      <c r="L41" s="265">
        <v>1800</v>
      </c>
      <c r="M41" s="265">
        <v>0</v>
      </c>
      <c r="N41" s="265">
        <v>0</v>
      </c>
      <c r="O41" s="265">
        <v>0</v>
      </c>
      <c r="P41" s="265">
        <v>0</v>
      </c>
      <c r="Q41" s="265">
        <v>0</v>
      </c>
      <c r="R41" s="265">
        <v>0</v>
      </c>
      <c r="S41" s="265">
        <f t="shared" si="9"/>
        <v>14000</v>
      </c>
      <c r="T41" s="265">
        <v>28000</v>
      </c>
      <c r="U41" s="265">
        <f t="shared" si="10"/>
        <v>-14000</v>
      </c>
      <c r="V41" s="262">
        <f t="shared" si="11"/>
        <v>0.5</v>
      </c>
      <c r="W41" s="263"/>
    </row>
    <row r="42" spans="1:23" x14ac:dyDescent="0.25">
      <c r="A42" t="s">
        <v>55</v>
      </c>
      <c r="B42" s="292" t="s">
        <v>792</v>
      </c>
      <c r="C42" t="s">
        <v>791</v>
      </c>
      <c r="D42" s="283">
        <v>385260.52</v>
      </c>
      <c r="E42" s="283">
        <v>190000</v>
      </c>
      <c r="G42" s="265">
        <v>54067.649999999994</v>
      </c>
      <c r="H42" s="265">
        <v>25380.5</v>
      </c>
      <c r="I42" s="265">
        <v>13495</v>
      </c>
      <c r="J42" s="265">
        <v>13585</v>
      </c>
      <c r="K42" s="265">
        <v>12160</v>
      </c>
      <c r="L42" s="265">
        <v>28902</v>
      </c>
      <c r="M42" s="265">
        <v>0</v>
      </c>
      <c r="N42" s="265">
        <v>0</v>
      </c>
      <c r="O42" s="265">
        <v>0</v>
      </c>
      <c r="P42" s="265">
        <v>0</v>
      </c>
      <c r="Q42" s="265">
        <v>0</v>
      </c>
      <c r="R42" s="265">
        <v>0</v>
      </c>
      <c r="S42" s="265">
        <f t="shared" si="9"/>
        <v>147590.15</v>
      </c>
      <c r="T42" s="265">
        <v>200000</v>
      </c>
      <c r="U42" s="265">
        <f t="shared" si="10"/>
        <v>-52409.850000000006</v>
      </c>
      <c r="V42" s="262">
        <f t="shared" si="11"/>
        <v>0.73795074999999999</v>
      </c>
      <c r="W42" s="263"/>
    </row>
    <row r="43" spans="1:23" x14ac:dyDescent="0.25">
      <c r="A43" t="s">
        <v>55</v>
      </c>
      <c r="B43" s="292" t="s">
        <v>790</v>
      </c>
      <c r="C43" t="s">
        <v>789</v>
      </c>
      <c r="D43" s="283">
        <v>40980</v>
      </c>
      <c r="E43" s="283">
        <v>20000</v>
      </c>
      <c r="G43" s="265">
        <v>7698.48</v>
      </c>
      <c r="H43" s="265">
        <v>7509.35</v>
      </c>
      <c r="I43" s="265">
        <v>2155</v>
      </c>
      <c r="J43" s="265">
        <v>2360</v>
      </c>
      <c r="K43" s="265">
        <v>2615</v>
      </c>
      <c r="L43" s="265">
        <v>2160</v>
      </c>
      <c r="M43" s="265">
        <v>0</v>
      </c>
      <c r="N43" s="265">
        <v>0</v>
      </c>
      <c r="O43" s="265">
        <v>0</v>
      </c>
      <c r="P43" s="265">
        <v>0</v>
      </c>
      <c r="Q43" s="265">
        <v>0</v>
      </c>
      <c r="R43" s="265">
        <v>0</v>
      </c>
      <c r="S43" s="265">
        <f t="shared" si="9"/>
        <v>24497.83</v>
      </c>
      <c r="T43" s="265">
        <v>38000</v>
      </c>
      <c r="U43" s="265">
        <f t="shared" si="10"/>
        <v>-13502.169999999998</v>
      </c>
      <c r="V43" s="262">
        <f t="shared" si="11"/>
        <v>0.64467973684210533</v>
      </c>
      <c r="W43" s="263"/>
    </row>
    <row r="44" spans="1:23" x14ac:dyDescent="0.25">
      <c r="A44" t="s">
        <v>55</v>
      </c>
      <c r="B44" s="292" t="s">
        <v>788</v>
      </c>
      <c r="C44" t="s">
        <v>787</v>
      </c>
      <c r="D44" s="283">
        <v>35713</v>
      </c>
      <c r="E44" s="283">
        <v>30000</v>
      </c>
      <c r="G44" s="265">
        <v>9374</v>
      </c>
      <c r="H44" s="265">
        <v>7403</v>
      </c>
      <c r="I44" s="265">
        <v>890</v>
      </c>
      <c r="J44" s="265">
        <v>2635</v>
      </c>
      <c r="K44" s="265">
        <v>1441</v>
      </c>
      <c r="L44" s="265">
        <v>2129</v>
      </c>
      <c r="M44" s="265">
        <v>0</v>
      </c>
      <c r="N44" s="265">
        <v>0</v>
      </c>
      <c r="O44" s="265">
        <v>0</v>
      </c>
      <c r="P44" s="265">
        <v>0</v>
      </c>
      <c r="Q44" s="265">
        <v>0</v>
      </c>
      <c r="R44" s="265">
        <v>0</v>
      </c>
      <c r="S44" s="265">
        <f t="shared" si="9"/>
        <v>23872</v>
      </c>
      <c r="T44" s="265">
        <v>29326.67</v>
      </c>
      <c r="U44" s="265">
        <f t="shared" si="10"/>
        <v>-5454.6699999999983</v>
      </c>
      <c r="V44" s="262">
        <f t="shared" si="11"/>
        <v>0.81400309002010807</v>
      </c>
      <c r="W44" s="263"/>
    </row>
    <row r="45" spans="1:23" x14ac:dyDescent="0.25">
      <c r="A45" t="s">
        <v>55</v>
      </c>
      <c r="B45" s="292" t="s">
        <v>786</v>
      </c>
      <c r="C45" t="s">
        <v>785</v>
      </c>
      <c r="D45" s="283">
        <v>300</v>
      </c>
      <c r="E45" s="283">
        <v>200</v>
      </c>
      <c r="G45" s="265">
        <v>0</v>
      </c>
      <c r="H45" s="265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f t="shared" si="9"/>
        <v>0</v>
      </c>
      <c r="T45" s="265">
        <v>26000</v>
      </c>
      <c r="U45" s="265">
        <f t="shared" si="10"/>
        <v>-26000</v>
      </c>
      <c r="V45" s="262">
        <f t="shared" si="11"/>
        <v>0</v>
      </c>
      <c r="W45" s="263"/>
    </row>
    <row r="46" spans="1:23" x14ac:dyDescent="0.25">
      <c r="A46" t="s">
        <v>55</v>
      </c>
      <c r="B46" s="292" t="s">
        <v>784</v>
      </c>
      <c r="C46" t="s">
        <v>783</v>
      </c>
      <c r="D46" s="283">
        <v>87206.86</v>
      </c>
      <c r="E46" s="283">
        <v>60000</v>
      </c>
      <c r="G46" s="265">
        <v>500</v>
      </c>
      <c r="H46" s="265">
        <v>2190</v>
      </c>
      <c r="I46" s="265">
        <v>900</v>
      </c>
      <c r="J46" s="265">
        <v>1000</v>
      </c>
      <c r="K46" s="265">
        <v>625</v>
      </c>
      <c r="L46" s="265">
        <v>15148</v>
      </c>
      <c r="M46" s="265">
        <v>0</v>
      </c>
      <c r="N46" s="265">
        <v>0</v>
      </c>
      <c r="O46" s="265">
        <v>0</v>
      </c>
      <c r="P46" s="265">
        <v>0</v>
      </c>
      <c r="Q46" s="265">
        <v>0</v>
      </c>
      <c r="R46" s="265">
        <v>0</v>
      </c>
      <c r="S46" s="265">
        <f t="shared" si="9"/>
        <v>20363</v>
      </c>
      <c r="T46" s="265">
        <v>40000</v>
      </c>
      <c r="U46" s="265">
        <f t="shared" si="10"/>
        <v>-19637</v>
      </c>
      <c r="V46" s="262">
        <f t="shared" si="11"/>
        <v>0.50907500000000006</v>
      </c>
      <c r="W46" s="263"/>
    </row>
    <row r="47" spans="1:23" x14ac:dyDescent="0.25">
      <c r="A47" t="s">
        <v>55</v>
      </c>
      <c r="B47" s="292" t="s">
        <v>782</v>
      </c>
      <c r="C47" t="s">
        <v>781</v>
      </c>
      <c r="D47" s="283">
        <v>22225</v>
      </c>
      <c r="E47" s="283">
        <v>33000</v>
      </c>
      <c r="G47" s="265">
        <v>1050</v>
      </c>
      <c r="H47" s="265">
        <v>2275</v>
      </c>
      <c r="I47" s="265">
        <v>1400</v>
      </c>
      <c r="J47" s="265">
        <v>1050</v>
      </c>
      <c r="K47" s="265">
        <v>875</v>
      </c>
      <c r="L47" s="265">
        <v>2625</v>
      </c>
      <c r="M47" s="265">
        <v>0</v>
      </c>
      <c r="N47" s="265">
        <v>0</v>
      </c>
      <c r="O47" s="265">
        <v>0</v>
      </c>
      <c r="P47" s="265">
        <v>0</v>
      </c>
      <c r="Q47" s="265">
        <v>0</v>
      </c>
      <c r="R47" s="265">
        <v>0</v>
      </c>
      <c r="S47" s="265">
        <f t="shared" si="9"/>
        <v>9275</v>
      </c>
      <c r="T47" s="265">
        <v>22000</v>
      </c>
      <c r="U47" s="265">
        <f t="shared" si="10"/>
        <v>-12725</v>
      </c>
      <c r="V47" s="262">
        <f t="shared" si="11"/>
        <v>0.42159090909090907</v>
      </c>
      <c r="W47" s="263"/>
    </row>
    <row r="48" spans="1:23" x14ac:dyDescent="0.25">
      <c r="A48" t="s">
        <v>55</v>
      </c>
      <c r="B48" s="292" t="s">
        <v>780</v>
      </c>
      <c r="C48" t="s">
        <v>779</v>
      </c>
      <c r="D48" s="283">
        <v>305</v>
      </c>
      <c r="E48" s="283">
        <v>250</v>
      </c>
      <c r="G48" s="265">
        <v>0</v>
      </c>
      <c r="H48" s="265">
        <v>0</v>
      </c>
      <c r="I48" s="265">
        <v>0</v>
      </c>
      <c r="J48" s="265">
        <v>0</v>
      </c>
      <c r="K48" s="265">
        <v>0</v>
      </c>
      <c r="L48" s="265">
        <v>0</v>
      </c>
      <c r="M48" s="265">
        <v>0</v>
      </c>
      <c r="N48" s="265">
        <v>0</v>
      </c>
      <c r="O48" s="265">
        <v>0</v>
      </c>
      <c r="P48" s="265">
        <v>0</v>
      </c>
      <c r="Q48" s="265">
        <v>0</v>
      </c>
      <c r="R48" s="265">
        <v>0</v>
      </c>
      <c r="S48" s="265">
        <f t="shared" si="9"/>
        <v>0</v>
      </c>
      <c r="T48" s="265">
        <v>500</v>
      </c>
      <c r="U48" s="265">
        <f t="shared" si="10"/>
        <v>-500</v>
      </c>
      <c r="V48" s="262">
        <f t="shared" si="11"/>
        <v>0</v>
      </c>
      <c r="W48" s="263"/>
    </row>
    <row r="49" spans="1:23" x14ac:dyDescent="0.25">
      <c r="B49" s="292" t="s">
        <v>778</v>
      </c>
      <c r="C49" t="s">
        <v>777</v>
      </c>
      <c r="D49" s="283">
        <v>80</v>
      </c>
      <c r="E49" s="283">
        <v>1300</v>
      </c>
      <c r="G49" s="265">
        <v>75</v>
      </c>
      <c r="H49" s="265">
        <v>0</v>
      </c>
      <c r="I49" s="265">
        <v>0</v>
      </c>
      <c r="J49" s="265">
        <v>0</v>
      </c>
      <c r="K49" s="265">
        <v>0</v>
      </c>
      <c r="L49" s="265">
        <v>0</v>
      </c>
      <c r="M49" s="265">
        <v>0</v>
      </c>
      <c r="N49" s="265">
        <v>0</v>
      </c>
      <c r="O49" s="265">
        <v>0</v>
      </c>
      <c r="P49" s="265">
        <v>0</v>
      </c>
      <c r="Q49" s="265">
        <v>0</v>
      </c>
      <c r="R49" s="265">
        <v>0</v>
      </c>
      <c r="S49" s="265">
        <f t="shared" si="9"/>
        <v>75</v>
      </c>
      <c r="T49" s="265">
        <v>0</v>
      </c>
      <c r="U49" s="265">
        <f t="shared" si="10"/>
        <v>75</v>
      </c>
      <c r="V49" s="262">
        <v>0</v>
      </c>
      <c r="W49" s="263"/>
    </row>
    <row r="50" spans="1:23" x14ac:dyDescent="0.25">
      <c r="B50" s="292" t="s">
        <v>776</v>
      </c>
      <c r="C50" t="s">
        <v>775</v>
      </c>
      <c r="D50" s="283">
        <v>250</v>
      </c>
      <c r="E50" s="283">
        <v>500</v>
      </c>
      <c r="G50" s="265">
        <v>45</v>
      </c>
      <c r="H50" s="265">
        <v>155</v>
      </c>
      <c r="I50" s="265">
        <v>60</v>
      </c>
      <c r="J50" s="265">
        <v>70</v>
      </c>
      <c r="K50" s="265">
        <v>30</v>
      </c>
      <c r="L50" s="265">
        <v>10</v>
      </c>
      <c r="M50" s="265">
        <v>0</v>
      </c>
      <c r="N50" s="265">
        <v>0</v>
      </c>
      <c r="O50" s="265">
        <v>0</v>
      </c>
      <c r="P50" s="265">
        <v>0</v>
      </c>
      <c r="Q50" s="265">
        <v>0</v>
      </c>
      <c r="R50" s="265">
        <v>0</v>
      </c>
      <c r="S50" s="265">
        <f t="shared" si="9"/>
        <v>370</v>
      </c>
      <c r="T50" s="265">
        <v>350</v>
      </c>
      <c r="U50" s="265">
        <f t="shared" si="10"/>
        <v>20</v>
      </c>
      <c r="V50" s="262">
        <f t="shared" si="11"/>
        <v>1.0571428571428572</v>
      </c>
      <c r="W50" s="263"/>
    </row>
    <row r="51" spans="1:23" x14ac:dyDescent="0.25">
      <c r="B51" s="292" t="s">
        <v>774</v>
      </c>
      <c r="C51" t="s">
        <v>773</v>
      </c>
      <c r="D51" s="283">
        <v>0</v>
      </c>
      <c r="E51" s="283">
        <v>100</v>
      </c>
      <c r="G51" s="265">
        <v>22.68</v>
      </c>
      <c r="H51" s="265">
        <v>0</v>
      </c>
      <c r="I51" s="265">
        <v>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f t="shared" si="9"/>
        <v>22.68</v>
      </c>
      <c r="T51" s="265">
        <v>0</v>
      </c>
      <c r="U51" s="265">
        <f t="shared" si="10"/>
        <v>22.68</v>
      </c>
      <c r="V51" s="262">
        <v>0</v>
      </c>
      <c r="W51" s="263"/>
    </row>
    <row r="52" spans="1:23" ht="15.75" thickBot="1" x14ac:dyDescent="0.3">
      <c r="B52" s="292"/>
      <c r="C52" s="302" t="s">
        <v>772</v>
      </c>
      <c r="D52" s="363">
        <v>850921.55999999994</v>
      </c>
      <c r="E52" s="273">
        <v>613950</v>
      </c>
      <c r="F52" s="350"/>
      <c r="G52" s="273">
        <f t="shared" ref="G52:S52" si="12">SUM(G37:G51)</f>
        <v>94002.809999999983</v>
      </c>
      <c r="H52" s="273">
        <f t="shared" si="12"/>
        <v>80938.850000000006</v>
      </c>
      <c r="I52" s="273">
        <f t="shared" si="12"/>
        <v>26250</v>
      </c>
      <c r="J52" s="273">
        <f t="shared" si="12"/>
        <v>27470</v>
      </c>
      <c r="K52" s="273">
        <f t="shared" si="12"/>
        <v>21491</v>
      </c>
      <c r="L52" s="273">
        <f t="shared" si="12"/>
        <v>55134</v>
      </c>
      <c r="M52" s="273">
        <f t="shared" si="12"/>
        <v>0</v>
      </c>
      <c r="N52" s="273">
        <f t="shared" si="12"/>
        <v>0</v>
      </c>
      <c r="O52" s="273">
        <f t="shared" si="12"/>
        <v>0</v>
      </c>
      <c r="P52" s="273">
        <f t="shared" si="12"/>
        <v>0</v>
      </c>
      <c r="Q52" s="273">
        <f t="shared" si="12"/>
        <v>0</v>
      </c>
      <c r="R52" s="273">
        <f t="shared" si="12"/>
        <v>0</v>
      </c>
      <c r="S52" s="273">
        <f t="shared" si="12"/>
        <v>305286.65999999997</v>
      </c>
      <c r="T52" s="273">
        <f>SUM(T37:T51)</f>
        <v>617176.67000000004</v>
      </c>
      <c r="U52" s="273">
        <f>SUM(U37:U51)</f>
        <v>-311890.01</v>
      </c>
      <c r="V52" s="272">
        <f t="shared" si="11"/>
        <v>0.49465035676089303</v>
      </c>
      <c r="W52" s="263"/>
    </row>
    <row r="53" spans="1:23" ht="15.75" thickTop="1" x14ac:dyDescent="0.25">
      <c r="B53" s="292"/>
      <c r="C53" s="115"/>
      <c r="D53" s="103"/>
      <c r="E53" s="103"/>
      <c r="F53" s="351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4"/>
      <c r="W53" s="263"/>
    </row>
    <row r="54" spans="1:23" x14ac:dyDescent="0.25">
      <c r="A54" s="13" t="s">
        <v>771</v>
      </c>
      <c r="B54" s="292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W54" s="263"/>
    </row>
    <row r="55" spans="1:23" x14ac:dyDescent="0.25">
      <c r="A55" t="s">
        <v>55</v>
      </c>
      <c r="B55" s="292" t="s">
        <v>770</v>
      </c>
      <c r="C55" t="s">
        <v>769</v>
      </c>
      <c r="D55" s="283">
        <v>10625</v>
      </c>
      <c r="E55" s="283">
        <v>12000</v>
      </c>
      <c r="G55" s="265">
        <v>0</v>
      </c>
      <c r="H55" s="265">
        <v>0</v>
      </c>
      <c r="I55" s="265">
        <v>0</v>
      </c>
      <c r="J55" s="265">
        <v>0</v>
      </c>
      <c r="K55" s="265">
        <v>0</v>
      </c>
      <c r="L55" s="265">
        <v>0</v>
      </c>
      <c r="M55" s="265">
        <v>0</v>
      </c>
      <c r="N55" s="265">
        <v>0</v>
      </c>
      <c r="O55" s="265">
        <v>0</v>
      </c>
      <c r="P55" s="265">
        <v>0</v>
      </c>
      <c r="Q55" s="265">
        <v>0</v>
      </c>
      <c r="R55" s="265">
        <v>0</v>
      </c>
      <c r="S55" s="265">
        <f t="shared" ref="S55:S66" si="13">SUM(G55:R55)</f>
        <v>0</v>
      </c>
      <c r="T55" s="265">
        <v>11000</v>
      </c>
      <c r="U55" s="265">
        <f t="shared" ref="U55:U66" si="14">S55-T55</f>
        <v>-11000</v>
      </c>
      <c r="V55" s="262">
        <f t="shared" ref="V55:V67" si="15">S55/T55</f>
        <v>0</v>
      </c>
      <c r="W55" s="263"/>
    </row>
    <row r="56" spans="1:23" x14ac:dyDescent="0.25">
      <c r="B56" s="292" t="s">
        <v>768</v>
      </c>
      <c r="C56" t="s">
        <v>767</v>
      </c>
      <c r="D56" s="283">
        <v>858</v>
      </c>
      <c r="E56" s="283">
        <v>200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L56" s="265">
        <v>0</v>
      </c>
      <c r="M56" s="265">
        <v>0</v>
      </c>
      <c r="N56" s="265">
        <v>0</v>
      </c>
      <c r="O56" s="265">
        <v>0</v>
      </c>
      <c r="P56" s="265">
        <v>0</v>
      </c>
      <c r="Q56" s="265">
        <v>0</v>
      </c>
      <c r="R56" s="265">
        <v>0</v>
      </c>
      <c r="S56" s="265">
        <f t="shared" si="13"/>
        <v>0</v>
      </c>
      <c r="T56" s="265">
        <v>200</v>
      </c>
      <c r="U56" s="265">
        <f t="shared" si="14"/>
        <v>-200</v>
      </c>
      <c r="V56" s="262">
        <f t="shared" si="15"/>
        <v>0</v>
      </c>
      <c r="W56" s="263"/>
    </row>
    <row r="57" spans="1:23" x14ac:dyDescent="0.25">
      <c r="A57" t="s">
        <v>55</v>
      </c>
      <c r="B57" s="292" t="s">
        <v>766</v>
      </c>
      <c r="C57" t="s">
        <v>765</v>
      </c>
      <c r="D57" s="283">
        <v>145335.21</v>
      </c>
      <c r="E57" s="283">
        <v>25000</v>
      </c>
      <c r="G57" s="265">
        <v>37508.32</v>
      </c>
      <c r="H57" s="265">
        <v>20499.39</v>
      </c>
      <c r="I57" s="265">
        <v>8901.24</v>
      </c>
      <c r="J57" s="265">
        <v>4458.5</v>
      </c>
      <c r="K57" s="265">
        <v>16457</v>
      </c>
      <c r="L57" s="265">
        <v>188</v>
      </c>
      <c r="M57" s="265">
        <v>0</v>
      </c>
      <c r="N57" s="265">
        <v>0</v>
      </c>
      <c r="O57" s="265">
        <v>0</v>
      </c>
      <c r="P57" s="265">
        <v>0</v>
      </c>
      <c r="Q57" s="265">
        <v>0</v>
      </c>
      <c r="R57" s="265">
        <v>0</v>
      </c>
      <c r="S57" s="265">
        <f t="shared" si="13"/>
        <v>88012.45</v>
      </c>
      <c r="T57" s="265">
        <v>25000</v>
      </c>
      <c r="U57" s="265">
        <f t="shared" si="14"/>
        <v>63012.45</v>
      </c>
      <c r="V57" s="262">
        <f t="shared" si="15"/>
        <v>3.5204979999999999</v>
      </c>
      <c r="W57" s="263"/>
    </row>
    <row r="58" spans="1:23" x14ac:dyDescent="0.25">
      <c r="A58" t="s">
        <v>55</v>
      </c>
      <c r="B58" s="292" t="s">
        <v>764</v>
      </c>
      <c r="C58" t="s">
        <v>763</v>
      </c>
      <c r="D58" s="283">
        <v>165515</v>
      </c>
      <c r="E58" s="283">
        <v>150000</v>
      </c>
      <c r="G58" s="265">
        <v>14730</v>
      </c>
      <c r="H58" s="265">
        <v>10970</v>
      </c>
      <c r="I58" s="265">
        <v>18090</v>
      </c>
      <c r="J58" s="265">
        <v>9750</v>
      </c>
      <c r="K58" s="265">
        <v>9600</v>
      </c>
      <c r="L58" s="265">
        <v>11690</v>
      </c>
      <c r="M58" s="265">
        <v>0</v>
      </c>
      <c r="N58" s="265">
        <v>0</v>
      </c>
      <c r="O58" s="265">
        <v>0</v>
      </c>
      <c r="P58" s="265">
        <v>0</v>
      </c>
      <c r="Q58" s="265">
        <v>0</v>
      </c>
      <c r="R58" s="265">
        <v>0</v>
      </c>
      <c r="S58" s="265">
        <f t="shared" si="13"/>
        <v>74830</v>
      </c>
      <c r="T58" s="265">
        <v>165000</v>
      </c>
      <c r="U58" s="265">
        <f t="shared" si="14"/>
        <v>-90170</v>
      </c>
      <c r="V58" s="262">
        <f t="shared" si="15"/>
        <v>0.45351515151515154</v>
      </c>
      <c r="W58" s="263"/>
    </row>
    <row r="59" spans="1:23" x14ac:dyDescent="0.25">
      <c r="A59" t="s">
        <v>55</v>
      </c>
      <c r="B59" s="292" t="s">
        <v>762</v>
      </c>
      <c r="C59" t="s">
        <v>761</v>
      </c>
      <c r="D59" s="283">
        <v>405</v>
      </c>
      <c r="E59" s="283">
        <v>5000</v>
      </c>
      <c r="G59" s="265">
        <v>0</v>
      </c>
      <c r="H59" s="265">
        <v>0</v>
      </c>
      <c r="I59" s="265">
        <v>0</v>
      </c>
      <c r="J59" s="265">
        <v>0</v>
      </c>
      <c r="K59" s="265">
        <v>200</v>
      </c>
      <c r="L59" s="265">
        <v>2836.84</v>
      </c>
      <c r="M59" s="265">
        <v>0</v>
      </c>
      <c r="N59" s="265">
        <v>0</v>
      </c>
      <c r="O59" s="265">
        <v>0</v>
      </c>
      <c r="P59" s="265">
        <v>0</v>
      </c>
      <c r="Q59" s="265">
        <v>0</v>
      </c>
      <c r="R59" s="265">
        <v>0</v>
      </c>
      <c r="S59" s="265">
        <f t="shared" si="13"/>
        <v>3036.84</v>
      </c>
      <c r="T59" s="265">
        <v>300</v>
      </c>
      <c r="U59" s="265">
        <f t="shared" si="14"/>
        <v>2736.84</v>
      </c>
      <c r="V59" s="262">
        <f t="shared" si="15"/>
        <v>10.1228</v>
      </c>
      <c r="W59" s="263"/>
    </row>
    <row r="60" spans="1:23" x14ac:dyDescent="0.25">
      <c r="A60" t="s">
        <v>55</v>
      </c>
      <c r="B60" s="292" t="s">
        <v>760</v>
      </c>
      <c r="C60" t="s">
        <v>759</v>
      </c>
      <c r="D60" s="283">
        <v>514210.48</v>
      </c>
      <c r="E60" s="283">
        <v>600000</v>
      </c>
      <c r="G60" s="265">
        <v>39710</v>
      </c>
      <c r="H60" s="265">
        <v>2250</v>
      </c>
      <c r="I60" s="265">
        <v>3630</v>
      </c>
      <c r="J60" s="265">
        <v>0</v>
      </c>
      <c r="K60" s="265">
        <v>20900</v>
      </c>
      <c r="L60" s="265">
        <v>20900</v>
      </c>
      <c r="M60" s="265">
        <v>0</v>
      </c>
      <c r="N60" s="265">
        <v>0</v>
      </c>
      <c r="O60" s="265">
        <v>0</v>
      </c>
      <c r="P60" s="265">
        <v>0</v>
      </c>
      <c r="Q60" s="265">
        <v>0</v>
      </c>
      <c r="R60" s="265">
        <v>0</v>
      </c>
      <c r="S60" s="265">
        <f t="shared" si="13"/>
        <v>87390</v>
      </c>
      <c r="T60" s="265">
        <v>600000</v>
      </c>
      <c r="U60" s="265">
        <f t="shared" si="14"/>
        <v>-512610</v>
      </c>
      <c r="V60" s="262">
        <f t="shared" si="15"/>
        <v>0.14565</v>
      </c>
      <c r="W60" s="263"/>
    </row>
    <row r="61" spans="1:23" x14ac:dyDescent="0.25">
      <c r="A61" t="s">
        <v>55</v>
      </c>
      <c r="B61" s="292" t="s">
        <v>758</v>
      </c>
      <c r="C61" t="s">
        <v>757</v>
      </c>
      <c r="D61" s="283">
        <v>67495.5</v>
      </c>
      <c r="E61" s="283">
        <v>0</v>
      </c>
      <c r="G61" s="265">
        <v>0</v>
      </c>
      <c r="H61" s="265">
        <v>8550</v>
      </c>
      <c r="I61" s="265">
        <v>41350</v>
      </c>
      <c r="J61" s="265">
        <v>29450</v>
      </c>
      <c r="K61" s="265">
        <v>0</v>
      </c>
      <c r="L61" s="265">
        <v>14250</v>
      </c>
      <c r="M61" s="265">
        <v>0</v>
      </c>
      <c r="N61" s="265">
        <v>0</v>
      </c>
      <c r="O61" s="265">
        <v>0</v>
      </c>
      <c r="P61" s="265">
        <v>0</v>
      </c>
      <c r="Q61" s="265">
        <v>0</v>
      </c>
      <c r="R61" s="265">
        <v>0</v>
      </c>
      <c r="S61" s="265">
        <f t="shared" si="13"/>
        <v>93600</v>
      </c>
      <c r="T61" s="265">
        <v>0</v>
      </c>
      <c r="U61" s="265">
        <f t="shared" si="14"/>
        <v>93600</v>
      </c>
      <c r="V61" s="262">
        <v>0</v>
      </c>
      <c r="W61" s="263"/>
    </row>
    <row r="62" spans="1:23" x14ac:dyDescent="0.25">
      <c r="A62" t="s">
        <v>55</v>
      </c>
      <c r="B62" s="292" t="s">
        <v>756</v>
      </c>
      <c r="C62" t="s">
        <v>755</v>
      </c>
      <c r="D62" s="283">
        <v>64595</v>
      </c>
      <c r="E62" s="283">
        <v>0</v>
      </c>
      <c r="G62" s="265">
        <v>0</v>
      </c>
      <c r="H62" s="265">
        <v>0</v>
      </c>
      <c r="I62" s="265">
        <v>7260</v>
      </c>
      <c r="J62" s="265">
        <v>2420</v>
      </c>
      <c r="K62" s="265">
        <v>0</v>
      </c>
      <c r="L62" s="265">
        <v>0</v>
      </c>
      <c r="M62" s="265">
        <v>0</v>
      </c>
      <c r="N62" s="265">
        <v>0</v>
      </c>
      <c r="O62" s="265">
        <v>0</v>
      </c>
      <c r="P62" s="265">
        <v>0</v>
      </c>
      <c r="Q62" s="265">
        <v>0</v>
      </c>
      <c r="R62" s="265">
        <v>0</v>
      </c>
      <c r="S62" s="265">
        <f t="shared" si="13"/>
        <v>9680</v>
      </c>
      <c r="T62" s="265">
        <v>0</v>
      </c>
      <c r="U62" s="265">
        <f t="shared" si="14"/>
        <v>9680</v>
      </c>
      <c r="V62" s="262">
        <v>0</v>
      </c>
      <c r="W62" s="263"/>
    </row>
    <row r="63" spans="1:23" x14ac:dyDescent="0.25">
      <c r="A63" t="s">
        <v>55</v>
      </c>
      <c r="B63" s="292" t="s">
        <v>754</v>
      </c>
      <c r="C63" t="s">
        <v>753</v>
      </c>
      <c r="D63" s="283">
        <v>137925.88</v>
      </c>
      <c r="E63" s="283">
        <v>0</v>
      </c>
      <c r="G63" s="265">
        <v>13662.980000000003</v>
      </c>
      <c r="H63" s="265">
        <v>27325.96</v>
      </c>
      <c r="I63" s="265">
        <v>0</v>
      </c>
      <c r="J63" s="265">
        <v>0</v>
      </c>
      <c r="K63" s="265">
        <v>13936.24</v>
      </c>
      <c r="L63" s="265">
        <v>27872.48</v>
      </c>
      <c r="M63" s="265">
        <v>0</v>
      </c>
      <c r="N63" s="265">
        <v>0</v>
      </c>
      <c r="O63" s="265">
        <v>0</v>
      </c>
      <c r="P63" s="265">
        <v>0</v>
      </c>
      <c r="Q63" s="265">
        <v>0</v>
      </c>
      <c r="R63" s="265">
        <v>0</v>
      </c>
      <c r="S63" s="265">
        <f t="shared" si="13"/>
        <v>82797.66</v>
      </c>
      <c r="T63" s="265">
        <v>0</v>
      </c>
      <c r="U63" s="265">
        <f t="shared" si="14"/>
        <v>82797.66</v>
      </c>
      <c r="V63" s="262">
        <v>0</v>
      </c>
      <c r="W63" s="263"/>
    </row>
    <row r="64" spans="1:23" x14ac:dyDescent="0.25">
      <c r="A64" t="s">
        <v>55</v>
      </c>
      <c r="B64" s="292" t="s">
        <v>752</v>
      </c>
      <c r="C64" t="s">
        <v>751</v>
      </c>
      <c r="D64" s="283">
        <v>165919.95000000001</v>
      </c>
      <c r="E64" s="283">
        <v>0</v>
      </c>
      <c r="G64" s="265">
        <v>0</v>
      </c>
      <c r="H64" s="265">
        <v>18987</v>
      </c>
      <c r="I64" s="265">
        <v>0</v>
      </c>
      <c r="J64" s="265">
        <v>0</v>
      </c>
      <c r="K64" s="265">
        <v>0</v>
      </c>
      <c r="L64" s="265">
        <v>0</v>
      </c>
      <c r="M64" s="265">
        <v>0</v>
      </c>
      <c r="N64" s="265">
        <v>0</v>
      </c>
      <c r="O64" s="265">
        <v>0</v>
      </c>
      <c r="P64" s="265">
        <v>0</v>
      </c>
      <c r="Q64" s="265">
        <v>0</v>
      </c>
      <c r="R64" s="265">
        <v>0</v>
      </c>
      <c r="S64" s="265">
        <f t="shared" si="13"/>
        <v>18987</v>
      </c>
      <c r="T64" s="265">
        <v>0</v>
      </c>
      <c r="U64" s="265">
        <f t="shared" si="14"/>
        <v>18987</v>
      </c>
      <c r="V64" s="262">
        <v>0</v>
      </c>
      <c r="W64" s="263"/>
    </row>
    <row r="65" spans="1:23" x14ac:dyDescent="0.25">
      <c r="B65" s="292" t="s">
        <v>940</v>
      </c>
      <c r="C65" t="s">
        <v>941</v>
      </c>
      <c r="D65" s="283">
        <v>0</v>
      </c>
      <c r="E65" s="283">
        <v>0</v>
      </c>
      <c r="G65" s="265">
        <v>0</v>
      </c>
      <c r="H65" s="265">
        <v>0</v>
      </c>
      <c r="I65" s="265">
        <v>0</v>
      </c>
      <c r="J65" s="265">
        <v>0</v>
      </c>
      <c r="K65" s="265">
        <v>750</v>
      </c>
      <c r="L65" s="265">
        <v>950</v>
      </c>
      <c r="M65" s="265"/>
      <c r="N65" s="265"/>
      <c r="O65" s="265"/>
      <c r="P65" s="265"/>
      <c r="Q65" s="265"/>
      <c r="R65" s="265"/>
      <c r="S65" s="265">
        <f t="shared" si="13"/>
        <v>1700</v>
      </c>
      <c r="T65" s="265">
        <v>0</v>
      </c>
      <c r="U65" s="265">
        <f t="shared" si="14"/>
        <v>1700</v>
      </c>
      <c r="V65" s="262">
        <v>0</v>
      </c>
      <c r="W65" s="263"/>
    </row>
    <row r="66" spans="1:23" x14ac:dyDescent="0.25">
      <c r="A66" t="s">
        <v>55</v>
      </c>
      <c r="B66" s="292" t="s">
        <v>750</v>
      </c>
      <c r="C66" t="s">
        <v>749</v>
      </c>
      <c r="D66" s="283">
        <v>576834.4</v>
      </c>
      <c r="E66" s="283">
        <v>475900</v>
      </c>
      <c r="G66" s="265">
        <v>0</v>
      </c>
      <c r="H66" s="265">
        <v>0</v>
      </c>
      <c r="I66" s="265">
        <v>0</v>
      </c>
      <c r="J66" s="265">
        <v>237869.14</v>
      </c>
      <c r="K66" s="265">
        <v>0</v>
      </c>
      <c r="L66" s="265">
        <v>0</v>
      </c>
      <c r="M66" s="265">
        <v>0</v>
      </c>
      <c r="N66" s="265">
        <v>0</v>
      </c>
      <c r="O66" s="265">
        <v>0</v>
      </c>
      <c r="P66" s="265">
        <v>0</v>
      </c>
      <c r="Q66" s="265">
        <v>0</v>
      </c>
      <c r="R66" s="265">
        <v>0</v>
      </c>
      <c r="S66" s="265">
        <f t="shared" si="13"/>
        <v>237869.14</v>
      </c>
      <c r="T66" s="265">
        <v>475900</v>
      </c>
      <c r="U66" s="265">
        <f t="shared" si="14"/>
        <v>-238030.86</v>
      </c>
      <c r="V66" s="262">
        <f t="shared" si="15"/>
        <v>0.49983009035511666</v>
      </c>
      <c r="W66" s="263"/>
    </row>
    <row r="67" spans="1:23" ht="15.75" thickBot="1" x14ac:dyDescent="0.3">
      <c r="B67" s="292"/>
      <c r="C67" s="302" t="s">
        <v>748</v>
      </c>
      <c r="D67" s="363">
        <v>1849719.42</v>
      </c>
      <c r="E67" s="273">
        <v>1268100</v>
      </c>
      <c r="F67" s="350"/>
      <c r="G67" s="273">
        <f t="shared" ref="G67:S67" si="16">SUM(G55:G66)</f>
        <v>105611.30000000002</v>
      </c>
      <c r="H67" s="273">
        <f t="shared" si="16"/>
        <v>88582.35</v>
      </c>
      <c r="I67" s="275">
        <f t="shared" si="16"/>
        <v>79231.239999999991</v>
      </c>
      <c r="J67" s="275">
        <f t="shared" si="16"/>
        <v>283947.64</v>
      </c>
      <c r="K67" s="275">
        <f t="shared" si="16"/>
        <v>61843.24</v>
      </c>
      <c r="L67" s="275">
        <f t="shared" si="16"/>
        <v>78687.319999999992</v>
      </c>
      <c r="M67" s="275">
        <f t="shared" si="16"/>
        <v>0</v>
      </c>
      <c r="N67" s="273">
        <f t="shared" si="16"/>
        <v>0</v>
      </c>
      <c r="O67" s="273">
        <f t="shared" si="16"/>
        <v>0</v>
      </c>
      <c r="P67" s="273">
        <f t="shared" si="16"/>
        <v>0</v>
      </c>
      <c r="Q67" s="273">
        <f t="shared" si="16"/>
        <v>0</v>
      </c>
      <c r="R67" s="273">
        <f t="shared" si="16"/>
        <v>0</v>
      </c>
      <c r="S67" s="273">
        <f t="shared" si="16"/>
        <v>697903.09000000008</v>
      </c>
      <c r="T67" s="273">
        <f>SUM(T55:T66)</f>
        <v>1277400</v>
      </c>
      <c r="U67" s="273">
        <f>SUM(U55:U66)</f>
        <v>-579496.90999999992</v>
      </c>
      <c r="V67" s="272">
        <f t="shared" si="15"/>
        <v>0.5463465555033663</v>
      </c>
      <c r="W67" s="263"/>
    </row>
    <row r="68" spans="1:23" ht="15.75" thickTop="1" x14ac:dyDescent="0.25">
      <c r="B68" s="292"/>
      <c r="C68" s="115"/>
      <c r="D68" s="103"/>
      <c r="E68" s="103"/>
      <c r="F68" s="351"/>
      <c r="G68" s="285"/>
      <c r="H68" s="285"/>
      <c r="I68" s="288"/>
      <c r="J68" s="288"/>
      <c r="K68" s="288"/>
      <c r="L68" s="288"/>
      <c r="M68" s="288"/>
      <c r="N68" s="285"/>
      <c r="O68" s="285"/>
      <c r="P68" s="285"/>
      <c r="Q68" s="285"/>
      <c r="R68" s="285"/>
      <c r="S68" s="285"/>
      <c r="T68" s="285"/>
      <c r="U68" s="285"/>
      <c r="V68" s="284"/>
      <c r="W68" s="263"/>
    </row>
    <row r="69" spans="1:23" x14ac:dyDescent="0.25">
      <c r="A69" s="13" t="s">
        <v>747</v>
      </c>
      <c r="B69" s="292"/>
      <c r="G69" s="285"/>
      <c r="H69" s="285"/>
      <c r="I69" s="288"/>
      <c r="J69" s="288"/>
      <c r="K69" s="288"/>
      <c r="L69" s="288"/>
      <c r="M69" s="288"/>
      <c r="N69" s="285"/>
      <c r="O69" s="285"/>
      <c r="P69" s="285"/>
      <c r="Q69" s="285"/>
      <c r="R69" s="285"/>
      <c r="S69" s="285"/>
      <c r="T69" s="285"/>
      <c r="U69" s="285"/>
      <c r="W69" s="263"/>
    </row>
    <row r="70" spans="1:23" x14ac:dyDescent="0.25">
      <c r="B70" s="292" t="s">
        <v>746</v>
      </c>
      <c r="C70" t="s">
        <v>745</v>
      </c>
      <c r="D70" s="283">
        <v>199785.25</v>
      </c>
      <c r="E70" s="283">
        <v>255000</v>
      </c>
      <c r="G70" s="265">
        <v>55441.450000000004</v>
      </c>
      <c r="H70" s="265">
        <v>41067.68</v>
      </c>
      <c r="I70" s="265">
        <v>30094.080000000002</v>
      </c>
      <c r="J70" s="265">
        <v>37100.5</v>
      </c>
      <c r="K70" s="265">
        <v>15483.1</v>
      </c>
      <c r="L70" s="265">
        <v>21678.54</v>
      </c>
      <c r="M70" s="265">
        <v>0</v>
      </c>
      <c r="N70" s="265">
        <v>0</v>
      </c>
      <c r="O70" s="265">
        <v>0</v>
      </c>
      <c r="P70" s="265">
        <v>0</v>
      </c>
      <c r="Q70" s="265">
        <v>0</v>
      </c>
      <c r="R70" s="265">
        <v>0</v>
      </c>
      <c r="S70" s="265">
        <f>SUM(G70:R70)</f>
        <v>200865.35000000003</v>
      </c>
      <c r="T70" s="265">
        <v>330000</v>
      </c>
      <c r="U70" s="265">
        <f>S70-T70</f>
        <v>-129134.64999999997</v>
      </c>
      <c r="V70" s="262">
        <f t="shared" ref="V70:V75" si="17">S70/T70</f>
        <v>0.60868287878787886</v>
      </c>
      <c r="W70" s="263"/>
    </row>
    <row r="71" spans="1:23" x14ac:dyDescent="0.25">
      <c r="B71" s="292" t="s">
        <v>744</v>
      </c>
      <c r="C71" t="s">
        <v>743</v>
      </c>
      <c r="D71" s="283">
        <v>25851</v>
      </c>
      <c r="E71" s="283">
        <v>20000</v>
      </c>
      <c r="G71" s="265">
        <v>900</v>
      </c>
      <c r="H71" s="265">
        <v>2750</v>
      </c>
      <c r="I71" s="265">
        <v>900</v>
      </c>
      <c r="J71" s="265">
        <v>250</v>
      </c>
      <c r="K71" s="265">
        <v>550</v>
      </c>
      <c r="L71" s="265">
        <v>1200</v>
      </c>
      <c r="M71" s="265">
        <v>0</v>
      </c>
      <c r="N71" s="265">
        <v>0</v>
      </c>
      <c r="O71" s="265">
        <v>0</v>
      </c>
      <c r="P71" s="265">
        <v>0</v>
      </c>
      <c r="Q71" s="265">
        <v>0</v>
      </c>
      <c r="R71" s="265">
        <v>0</v>
      </c>
      <c r="S71" s="265">
        <f>SUM(G71:R71)</f>
        <v>6550</v>
      </c>
      <c r="T71" s="265">
        <v>24000</v>
      </c>
      <c r="U71" s="265">
        <f>S71-T71</f>
        <v>-17450</v>
      </c>
      <c r="V71" s="262">
        <f t="shared" si="17"/>
        <v>0.27291666666666664</v>
      </c>
      <c r="W71" s="263"/>
    </row>
    <row r="72" spans="1:23" x14ac:dyDescent="0.25">
      <c r="B72" s="292" t="s">
        <v>742</v>
      </c>
      <c r="C72" t="s">
        <v>741</v>
      </c>
      <c r="D72" s="283">
        <v>2365</v>
      </c>
      <c r="E72" s="283">
        <v>35000</v>
      </c>
      <c r="G72" s="265">
        <v>200</v>
      </c>
      <c r="H72" s="265">
        <v>750</v>
      </c>
      <c r="I72" s="265">
        <v>650</v>
      </c>
      <c r="J72" s="265">
        <v>475</v>
      </c>
      <c r="K72" s="265">
        <v>200</v>
      </c>
      <c r="L72" s="265">
        <v>575</v>
      </c>
      <c r="M72" s="265">
        <v>0</v>
      </c>
      <c r="N72" s="265">
        <v>0</v>
      </c>
      <c r="O72" s="265">
        <v>0</v>
      </c>
      <c r="P72" s="265">
        <v>0</v>
      </c>
      <c r="Q72" s="265">
        <v>0</v>
      </c>
      <c r="R72" s="265">
        <v>0</v>
      </c>
      <c r="S72" s="265">
        <f>SUM(G72:R72)</f>
        <v>2850</v>
      </c>
      <c r="T72" s="265">
        <v>500</v>
      </c>
      <c r="U72" s="265">
        <f>S72-T72</f>
        <v>2350</v>
      </c>
      <c r="V72" s="262">
        <f t="shared" si="17"/>
        <v>5.7</v>
      </c>
      <c r="W72" s="263"/>
    </row>
    <row r="73" spans="1:23" x14ac:dyDescent="0.25">
      <c r="B73" s="292" t="s">
        <v>884</v>
      </c>
      <c r="C73" t="s">
        <v>885</v>
      </c>
      <c r="D73" s="283">
        <v>0</v>
      </c>
      <c r="E73" s="283">
        <v>0</v>
      </c>
      <c r="G73" s="265">
        <v>0</v>
      </c>
      <c r="H73" s="265">
        <v>0</v>
      </c>
      <c r="I73" s="265">
        <v>0</v>
      </c>
      <c r="J73" s="265">
        <v>0</v>
      </c>
      <c r="K73" s="265">
        <v>0</v>
      </c>
      <c r="L73" s="265">
        <v>0</v>
      </c>
      <c r="M73" s="265">
        <v>0</v>
      </c>
      <c r="N73" s="265">
        <v>0</v>
      </c>
      <c r="O73" s="265">
        <v>0</v>
      </c>
      <c r="P73" s="265">
        <v>0</v>
      </c>
      <c r="Q73" s="265">
        <v>0</v>
      </c>
      <c r="R73" s="265">
        <v>0</v>
      </c>
      <c r="S73" s="265">
        <f>SUM(G73:R73)</f>
        <v>0</v>
      </c>
      <c r="T73" s="265">
        <v>10000</v>
      </c>
      <c r="U73" s="265">
        <f>S73-T73</f>
        <v>-10000</v>
      </c>
      <c r="V73" s="262">
        <f t="shared" si="17"/>
        <v>0</v>
      </c>
      <c r="W73" s="263"/>
    </row>
    <row r="74" spans="1:23" x14ac:dyDescent="0.25">
      <c r="B74" s="292" t="s">
        <v>740</v>
      </c>
      <c r="C74" t="s">
        <v>739</v>
      </c>
      <c r="D74" s="283">
        <v>39526</v>
      </c>
      <c r="E74" s="283">
        <v>60000</v>
      </c>
      <c r="G74" s="265">
        <v>3570</v>
      </c>
      <c r="H74" s="265">
        <v>4265</v>
      </c>
      <c r="I74" s="265">
        <v>2467</v>
      </c>
      <c r="J74" s="265">
        <v>2142.5</v>
      </c>
      <c r="K74" s="265">
        <v>5440</v>
      </c>
      <c r="L74" s="265">
        <v>3050</v>
      </c>
      <c r="M74" s="265">
        <v>0</v>
      </c>
      <c r="N74" s="265">
        <v>0</v>
      </c>
      <c r="O74" s="265">
        <v>0</v>
      </c>
      <c r="P74" s="265">
        <v>0</v>
      </c>
      <c r="Q74" s="265">
        <v>0</v>
      </c>
      <c r="R74" s="265">
        <v>0</v>
      </c>
      <c r="S74" s="265">
        <f>SUM(G74:R74)</f>
        <v>20934.5</v>
      </c>
      <c r="T74" s="265">
        <v>36000</v>
      </c>
      <c r="U74" s="265">
        <f>S74-T74</f>
        <v>-15065.5</v>
      </c>
      <c r="V74" s="262">
        <f t="shared" si="17"/>
        <v>0.58151388888888889</v>
      </c>
      <c r="W74" s="263"/>
    </row>
    <row r="75" spans="1:23" ht="15.75" thickBot="1" x14ac:dyDescent="0.3">
      <c r="B75" s="292"/>
      <c r="C75" s="302" t="s">
        <v>738</v>
      </c>
      <c r="D75" s="363">
        <v>267527.25</v>
      </c>
      <c r="E75" s="273">
        <v>370000</v>
      </c>
      <c r="F75" s="350"/>
      <c r="G75" s="273">
        <f t="shared" ref="G75:S75" si="18">SUM(G70:G74)</f>
        <v>60111.450000000004</v>
      </c>
      <c r="H75" s="273">
        <f t="shared" si="18"/>
        <v>48832.68</v>
      </c>
      <c r="I75" s="273">
        <f t="shared" si="18"/>
        <v>34111.08</v>
      </c>
      <c r="J75" s="273">
        <f t="shared" si="18"/>
        <v>39968</v>
      </c>
      <c r="K75" s="273">
        <f t="shared" si="18"/>
        <v>21673.1</v>
      </c>
      <c r="L75" s="273">
        <f t="shared" si="18"/>
        <v>26503.54</v>
      </c>
      <c r="M75" s="273">
        <f t="shared" si="18"/>
        <v>0</v>
      </c>
      <c r="N75" s="275">
        <f t="shared" si="18"/>
        <v>0</v>
      </c>
      <c r="O75" s="273">
        <f t="shared" si="18"/>
        <v>0</v>
      </c>
      <c r="P75" s="273">
        <f t="shared" si="18"/>
        <v>0</v>
      </c>
      <c r="Q75" s="273">
        <f t="shared" si="18"/>
        <v>0</v>
      </c>
      <c r="R75" s="273">
        <f t="shared" si="18"/>
        <v>0</v>
      </c>
      <c r="S75" s="273">
        <f t="shared" si="18"/>
        <v>231199.85000000003</v>
      </c>
      <c r="T75" s="273">
        <f>SUM(T70:T74)</f>
        <v>400500</v>
      </c>
      <c r="U75" s="273">
        <f>SUM(U70:U74)</f>
        <v>-169300.14999999997</v>
      </c>
      <c r="V75" s="272">
        <f t="shared" si="17"/>
        <v>0.57727802746566803</v>
      </c>
      <c r="W75" s="263"/>
    </row>
    <row r="76" spans="1:23" ht="15.75" thickTop="1" x14ac:dyDescent="0.25">
      <c r="B76" s="292"/>
      <c r="C76" s="115"/>
      <c r="D76" s="103"/>
      <c r="E76" s="103"/>
      <c r="F76" s="351"/>
      <c r="G76" s="285"/>
      <c r="H76" s="285"/>
      <c r="I76" s="285"/>
      <c r="J76" s="285"/>
      <c r="K76" s="285"/>
      <c r="L76" s="285"/>
      <c r="M76" s="285"/>
      <c r="N76" s="288"/>
      <c r="O76" s="285"/>
      <c r="P76" s="285"/>
      <c r="Q76" s="285"/>
      <c r="R76" s="285"/>
      <c r="S76" s="285"/>
      <c r="T76" s="285"/>
      <c r="U76" s="285"/>
      <c r="V76" s="284"/>
      <c r="W76" s="263"/>
    </row>
    <row r="77" spans="1:23" x14ac:dyDescent="0.25">
      <c r="A77" s="13" t="s">
        <v>737</v>
      </c>
      <c r="B77" s="292"/>
      <c r="G77" s="285"/>
      <c r="H77" s="285"/>
      <c r="I77" s="285"/>
      <c r="J77" s="285"/>
      <c r="K77" s="285"/>
      <c r="L77" s="285"/>
      <c r="M77" s="285"/>
      <c r="N77" s="288"/>
      <c r="O77" s="285"/>
      <c r="P77" s="285"/>
      <c r="Q77" s="285"/>
      <c r="R77" s="285"/>
      <c r="S77" s="285"/>
      <c r="T77" s="285"/>
      <c r="U77" s="285"/>
      <c r="W77" s="263"/>
    </row>
    <row r="78" spans="1:23" ht="15.75" thickBot="1" x14ac:dyDescent="0.3">
      <c r="A78" t="s">
        <v>55</v>
      </c>
      <c r="B78" s="292" t="s">
        <v>736</v>
      </c>
      <c r="C78" t="s">
        <v>735</v>
      </c>
      <c r="D78" s="283">
        <v>8804.32</v>
      </c>
      <c r="E78" s="283">
        <v>8700</v>
      </c>
      <c r="G78" s="273">
        <v>485.89</v>
      </c>
      <c r="H78" s="273">
        <v>409.47</v>
      </c>
      <c r="I78" s="273">
        <v>384.76</v>
      </c>
      <c r="J78" s="273">
        <v>384.41</v>
      </c>
      <c r="K78" s="273">
        <v>0</v>
      </c>
      <c r="L78" s="273">
        <v>0</v>
      </c>
      <c r="M78" s="273">
        <v>0</v>
      </c>
      <c r="N78" s="273">
        <v>0</v>
      </c>
      <c r="O78" s="273">
        <v>0</v>
      </c>
      <c r="P78" s="273">
        <v>0</v>
      </c>
      <c r="Q78" s="273">
        <v>0</v>
      </c>
      <c r="R78" s="273">
        <v>0</v>
      </c>
      <c r="S78" s="273">
        <f t="shared" ref="S78" si="19">SUM(G78:R78)</f>
        <v>1664.53</v>
      </c>
      <c r="T78" s="273">
        <v>9000</v>
      </c>
      <c r="U78" s="273">
        <f>S78-T78</f>
        <v>-7335.47</v>
      </c>
      <c r="V78" s="272">
        <f>S78/T78</f>
        <v>0.18494777777777777</v>
      </c>
      <c r="W78" s="263"/>
    </row>
    <row r="79" spans="1:23" ht="15.75" thickTop="1" x14ac:dyDescent="0.25">
      <c r="B79" s="292"/>
      <c r="G79" s="285"/>
      <c r="H79" s="285"/>
      <c r="I79" s="285"/>
      <c r="J79" s="285"/>
      <c r="K79" s="285"/>
      <c r="L79" s="285"/>
      <c r="M79" s="285"/>
      <c r="N79" s="288"/>
      <c r="O79" s="285"/>
      <c r="P79" s="285"/>
      <c r="Q79" s="285"/>
      <c r="R79" s="285"/>
      <c r="S79" s="285"/>
      <c r="T79" s="285"/>
      <c r="U79" s="285"/>
      <c r="V79" s="284"/>
      <c r="W79" s="263"/>
    </row>
    <row r="80" spans="1:23" x14ac:dyDescent="0.25">
      <c r="A80" s="13" t="s">
        <v>734</v>
      </c>
      <c r="B80" s="292"/>
      <c r="G80" s="265"/>
      <c r="H80" s="265"/>
      <c r="I80" s="265"/>
      <c r="J80" s="265"/>
      <c r="K80" s="265"/>
      <c r="L80" s="265"/>
      <c r="M80" s="265"/>
      <c r="N80" s="274"/>
      <c r="O80" s="265"/>
      <c r="P80" s="265"/>
      <c r="Q80" s="265"/>
      <c r="R80" s="265"/>
      <c r="S80" s="265"/>
      <c r="T80" s="265"/>
      <c r="U80" s="265"/>
      <c r="W80" s="263"/>
    </row>
    <row r="81" spans="1:23" x14ac:dyDescent="0.25">
      <c r="A81" t="s">
        <v>55</v>
      </c>
      <c r="B81" s="303" t="s">
        <v>733</v>
      </c>
      <c r="C81" t="s">
        <v>732</v>
      </c>
      <c r="D81" s="283">
        <v>80421.56</v>
      </c>
      <c r="E81" s="283">
        <v>150000</v>
      </c>
      <c r="G81" s="265">
        <v>9037.9000000000015</v>
      </c>
      <c r="H81" s="265">
        <v>12908.5</v>
      </c>
      <c r="I81" s="265">
        <v>1894.57</v>
      </c>
      <c r="J81" s="265">
        <v>0</v>
      </c>
      <c r="K81" s="265">
        <v>2437</v>
      </c>
      <c r="L81" s="265">
        <v>1035.25</v>
      </c>
      <c r="M81" s="265">
        <v>0</v>
      </c>
      <c r="N81" s="265">
        <v>0</v>
      </c>
      <c r="O81" s="265">
        <v>0</v>
      </c>
      <c r="P81" s="265">
        <v>0</v>
      </c>
      <c r="Q81" s="265">
        <v>0</v>
      </c>
      <c r="R81" s="265">
        <v>0</v>
      </c>
      <c r="S81" s="265">
        <f t="shared" ref="S81:S90" si="20">SUM(G81:R81)</f>
        <v>27313.22</v>
      </c>
      <c r="T81" s="265">
        <v>116000</v>
      </c>
      <c r="U81" s="265">
        <f t="shared" ref="U81:U90" si="21">S81-T81</f>
        <v>-88686.78</v>
      </c>
      <c r="V81" s="262">
        <f t="shared" ref="V81:V91" si="22">S81/T81</f>
        <v>0.23545879310344828</v>
      </c>
      <c r="W81" s="263"/>
    </row>
    <row r="82" spans="1:23" x14ac:dyDescent="0.25">
      <c r="A82" t="s">
        <v>55</v>
      </c>
      <c r="B82" s="303" t="s">
        <v>731</v>
      </c>
      <c r="C82" t="s">
        <v>730</v>
      </c>
      <c r="D82" s="283">
        <v>102079.65</v>
      </c>
      <c r="E82" s="283">
        <v>0</v>
      </c>
      <c r="G82" s="265">
        <v>0</v>
      </c>
      <c r="H82" s="265">
        <v>0</v>
      </c>
      <c r="I82" s="265">
        <v>20000</v>
      </c>
      <c r="J82" s="265">
        <v>0</v>
      </c>
      <c r="K82" s="265">
        <v>0</v>
      </c>
      <c r="L82" s="265">
        <v>0</v>
      </c>
      <c r="M82" s="265">
        <v>0</v>
      </c>
      <c r="N82" s="265">
        <v>0</v>
      </c>
      <c r="O82" s="265">
        <v>0</v>
      </c>
      <c r="P82" s="265">
        <v>0</v>
      </c>
      <c r="Q82" s="265">
        <v>0</v>
      </c>
      <c r="R82" s="265">
        <v>0</v>
      </c>
      <c r="S82" s="265">
        <f t="shared" si="20"/>
        <v>20000</v>
      </c>
      <c r="T82" s="265">
        <v>0</v>
      </c>
      <c r="U82" s="265">
        <f t="shared" si="21"/>
        <v>20000</v>
      </c>
      <c r="V82" s="262">
        <v>0</v>
      </c>
      <c r="W82" s="263"/>
    </row>
    <row r="83" spans="1:23" x14ac:dyDescent="0.25">
      <c r="A83" t="s">
        <v>55</v>
      </c>
      <c r="B83" s="303" t="s">
        <v>729</v>
      </c>
      <c r="C83" t="s">
        <v>728</v>
      </c>
      <c r="D83" s="283">
        <v>11321.74</v>
      </c>
      <c r="E83" s="283">
        <v>0</v>
      </c>
      <c r="G83" s="265">
        <v>2406.5100000000002</v>
      </c>
      <c r="H83" s="265">
        <v>2269.92</v>
      </c>
      <c r="I83" s="265">
        <v>0</v>
      </c>
      <c r="J83" s="265">
        <v>1842.02</v>
      </c>
      <c r="K83" s="265">
        <v>237.68</v>
      </c>
      <c r="L83" s="265">
        <v>822.13</v>
      </c>
      <c r="M83" s="265">
        <v>0</v>
      </c>
      <c r="N83" s="265">
        <v>0</v>
      </c>
      <c r="O83" s="265">
        <v>0</v>
      </c>
      <c r="P83" s="265">
        <v>0</v>
      </c>
      <c r="Q83" s="265">
        <v>0</v>
      </c>
      <c r="R83" s="265">
        <v>0</v>
      </c>
      <c r="S83" s="265">
        <f t="shared" si="20"/>
        <v>7578.2600000000011</v>
      </c>
      <c r="T83" s="265">
        <v>11500</v>
      </c>
      <c r="U83" s="265">
        <f t="shared" si="21"/>
        <v>-3921.7399999999989</v>
      </c>
      <c r="V83" s="262">
        <f t="shared" si="22"/>
        <v>0.65897913043478273</v>
      </c>
      <c r="W83" s="263"/>
    </row>
    <row r="84" spans="1:23" x14ac:dyDescent="0.25">
      <c r="A84" t="s">
        <v>55</v>
      </c>
      <c r="B84" s="303" t="s">
        <v>727</v>
      </c>
      <c r="C84" t="s">
        <v>726</v>
      </c>
      <c r="D84" s="283">
        <v>0</v>
      </c>
      <c r="E84" s="283">
        <v>0</v>
      </c>
      <c r="G84" s="265">
        <v>0</v>
      </c>
      <c r="H84" s="265">
        <v>0</v>
      </c>
      <c r="I84" s="265">
        <v>0</v>
      </c>
      <c r="J84" s="265">
        <v>0</v>
      </c>
      <c r="K84" s="265">
        <v>0</v>
      </c>
      <c r="L84" s="265">
        <v>0</v>
      </c>
      <c r="M84" s="265">
        <v>0</v>
      </c>
      <c r="N84" s="265">
        <v>0</v>
      </c>
      <c r="O84" s="265">
        <v>0</v>
      </c>
      <c r="P84" s="265">
        <v>0</v>
      </c>
      <c r="Q84" s="265">
        <v>0</v>
      </c>
      <c r="R84" s="265">
        <v>0</v>
      </c>
      <c r="S84" s="265">
        <f t="shared" si="20"/>
        <v>0</v>
      </c>
      <c r="T84" s="265">
        <v>0</v>
      </c>
      <c r="U84" s="265">
        <f t="shared" si="21"/>
        <v>0</v>
      </c>
      <c r="V84" s="262">
        <v>0</v>
      </c>
      <c r="W84" s="263"/>
    </row>
    <row r="85" spans="1:23" x14ac:dyDescent="0.25">
      <c r="B85" s="303" t="s">
        <v>865</v>
      </c>
      <c r="C85" t="s">
        <v>866</v>
      </c>
      <c r="D85" s="283">
        <v>-321525</v>
      </c>
      <c r="E85" s="283">
        <v>0</v>
      </c>
      <c r="G85" s="265">
        <v>0</v>
      </c>
      <c r="H85" s="265">
        <v>0</v>
      </c>
      <c r="I85" s="265">
        <v>0</v>
      </c>
      <c r="J85" s="265">
        <v>0</v>
      </c>
      <c r="K85" s="265">
        <v>0</v>
      </c>
      <c r="L85" s="265">
        <v>0</v>
      </c>
      <c r="M85" s="265">
        <v>0</v>
      </c>
      <c r="N85" s="265">
        <v>0</v>
      </c>
      <c r="O85" s="265">
        <v>0</v>
      </c>
      <c r="P85" s="265">
        <v>0</v>
      </c>
      <c r="Q85" s="265">
        <v>0</v>
      </c>
      <c r="R85" s="265">
        <v>0</v>
      </c>
      <c r="S85" s="265">
        <f t="shared" si="20"/>
        <v>0</v>
      </c>
      <c r="T85" s="265">
        <v>0</v>
      </c>
      <c r="U85" s="265">
        <f t="shared" si="21"/>
        <v>0</v>
      </c>
      <c r="V85" s="262">
        <v>0</v>
      </c>
      <c r="W85" s="263"/>
    </row>
    <row r="86" spans="1:23" x14ac:dyDescent="0.25">
      <c r="A86" t="s">
        <v>55</v>
      </c>
      <c r="B86" s="303" t="s">
        <v>725</v>
      </c>
      <c r="C86" t="s">
        <v>724</v>
      </c>
      <c r="D86" s="283">
        <v>16875</v>
      </c>
      <c r="E86" s="283">
        <v>18000</v>
      </c>
      <c r="G86" s="265">
        <v>2625</v>
      </c>
      <c r="H86" s="265">
        <v>75</v>
      </c>
      <c r="I86" s="265">
        <v>12.5</v>
      </c>
      <c r="J86" s="265">
        <v>2707.5</v>
      </c>
      <c r="K86" s="265">
        <v>0</v>
      </c>
      <c r="L86" s="265">
        <v>2670</v>
      </c>
      <c r="M86" s="265">
        <v>0</v>
      </c>
      <c r="N86" s="265">
        <v>0</v>
      </c>
      <c r="O86" s="265">
        <v>0</v>
      </c>
      <c r="P86" s="265">
        <v>0</v>
      </c>
      <c r="Q86" s="265">
        <v>0</v>
      </c>
      <c r="R86" s="265">
        <v>0</v>
      </c>
      <c r="S86" s="265">
        <f t="shared" si="20"/>
        <v>8090</v>
      </c>
      <c r="T86" s="265">
        <v>18000</v>
      </c>
      <c r="U86" s="265">
        <f t="shared" si="21"/>
        <v>-9910</v>
      </c>
      <c r="V86" s="262">
        <f t="shared" si="22"/>
        <v>0.44944444444444442</v>
      </c>
      <c r="W86" s="263"/>
    </row>
    <row r="87" spans="1:23" x14ac:dyDescent="0.25">
      <c r="A87" t="s">
        <v>55</v>
      </c>
      <c r="B87" s="303" t="s">
        <v>723</v>
      </c>
      <c r="C87" t="s">
        <v>722</v>
      </c>
      <c r="D87" s="283">
        <v>6200</v>
      </c>
      <c r="E87" s="283">
        <v>1900</v>
      </c>
      <c r="G87" s="265">
        <v>0</v>
      </c>
      <c r="H87" s="265">
        <v>0</v>
      </c>
      <c r="I87" s="265">
        <v>0</v>
      </c>
      <c r="J87" s="265">
        <v>0</v>
      </c>
      <c r="K87" s="265">
        <v>0</v>
      </c>
      <c r="L87" s="265">
        <v>0</v>
      </c>
      <c r="M87" s="265">
        <v>0</v>
      </c>
      <c r="N87" s="265">
        <v>0</v>
      </c>
      <c r="O87" s="265">
        <v>0</v>
      </c>
      <c r="P87" s="265">
        <v>0</v>
      </c>
      <c r="Q87" s="265">
        <v>0</v>
      </c>
      <c r="R87" s="265">
        <v>0</v>
      </c>
      <c r="S87" s="265">
        <f t="shared" si="20"/>
        <v>0</v>
      </c>
      <c r="T87" s="265">
        <v>2250</v>
      </c>
      <c r="U87" s="265">
        <f t="shared" si="21"/>
        <v>-2250</v>
      </c>
      <c r="V87" s="262">
        <f t="shared" si="22"/>
        <v>0</v>
      </c>
      <c r="W87" s="263"/>
    </row>
    <row r="88" spans="1:23" x14ac:dyDescent="0.25">
      <c r="B88" s="303" t="s">
        <v>886</v>
      </c>
      <c r="C88" t="s">
        <v>887</v>
      </c>
      <c r="D88" s="283">
        <v>0</v>
      </c>
      <c r="E88" s="283">
        <v>0</v>
      </c>
      <c r="G88" s="265">
        <v>0</v>
      </c>
      <c r="H88" s="265">
        <v>0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0</v>
      </c>
      <c r="O88" s="265">
        <v>0</v>
      </c>
      <c r="P88" s="265">
        <v>0</v>
      </c>
      <c r="Q88" s="265">
        <v>0</v>
      </c>
      <c r="R88" s="265">
        <v>0</v>
      </c>
      <c r="S88" s="265">
        <f t="shared" ref="S88" si="23">SUM(G88:R88)</f>
        <v>0</v>
      </c>
      <c r="T88" s="265">
        <v>25000</v>
      </c>
      <c r="U88" s="265">
        <f t="shared" si="21"/>
        <v>-25000</v>
      </c>
      <c r="V88" s="262">
        <f t="shared" si="22"/>
        <v>0</v>
      </c>
      <c r="W88" s="263"/>
    </row>
    <row r="89" spans="1:23" x14ac:dyDescent="0.25">
      <c r="A89" t="s">
        <v>55</v>
      </c>
      <c r="B89" s="303" t="s">
        <v>721</v>
      </c>
      <c r="C89" t="s">
        <v>720</v>
      </c>
      <c r="D89" s="283">
        <v>3558</v>
      </c>
      <c r="E89" s="283">
        <v>12500</v>
      </c>
      <c r="G89" s="265">
        <v>0</v>
      </c>
      <c r="H89" s="265">
        <v>75</v>
      </c>
      <c r="I89" s="265">
        <v>125</v>
      </c>
      <c r="J89" s="265">
        <v>1550.68</v>
      </c>
      <c r="K89" s="265">
        <v>787.48</v>
      </c>
      <c r="L89" s="265">
        <v>125</v>
      </c>
      <c r="M89" s="265">
        <v>0</v>
      </c>
      <c r="N89" s="265">
        <v>0</v>
      </c>
      <c r="O89" s="265">
        <v>0</v>
      </c>
      <c r="P89" s="265">
        <v>0</v>
      </c>
      <c r="Q89" s="265">
        <v>0</v>
      </c>
      <c r="R89" s="265">
        <v>0</v>
      </c>
      <c r="S89" s="265">
        <f t="shared" si="20"/>
        <v>2663.16</v>
      </c>
      <c r="T89" s="265">
        <v>0</v>
      </c>
      <c r="U89" s="265">
        <f t="shared" si="21"/>
        <v>2663.16</v>
      </c>
      <c r="V89" s="262">
        <v>0</v>
      </c>
      <c r="W89" s="263"/>
    </row>
    <row r="90" spans="1:23" x14ac:dyDescent="0.25">
      <c r="A90" t="s">
        <v>55</v>
      </c>
      <c r="B90" s="303" t="s">
        <v>719</v>
      </c>
      <c r="C90" t="s">
        <v>232</v>
      </c>
      <c r="D90" s="283">
        <v>1149903.1200000001</v>
      </c>
      <c r="E90" s="283">
        <v>1208592.6299999999</v>
      </c>
      <c r="G90" s="265">
        <v>0</v>
      </c>
      <c r="H90" s="265">
        <v>4825</v>
      </c>
      <c r="I90" s="265">
        <v>0</v>
      </c>
      <c r="J90" s="265">
        <v>200</v>
      </c>
      <c r="K90" s="265">
        <v>0</v>
      </c>
      <c r="L90" s="265">
        <v>0.7</v>
      </c>
      <c r="M90" s="265">
        <v>0</v>
      </c>
      <c r="N90" s="265">
        <v>0</v>
      </c>
      <c r="O90" s="265">
        <v>0</v>
      </c>
      <c r="P90" s="265">
        <v>0</v>
      </c>
      <c r="Q90" s="265">
        <v>0</v>
      </c>
      <c r="R90" s="265">
        <v>0</v>
      </c>
      <c r="S90" s="265">
        <f t="shared" si="20"/>
        <v>5025.7</v>
      </c>
      <c r="T90" s="265">
        <v>224000</v>
      </c>
      <c r="U90" s="265">
        <f t="shared" si="21"/>
        <v>-218974.3</v>
      </c>
      <c r="V90" s="262">
        <f t="shared" si="22"/>
        <v>2.2436160714285714E-2</v>
      </c>
      <c r="W90" s="263"/>
    </row>
    <row r="91" spans="1:23" ht="15.75" thickBot="1" x14ac:dyDescent="0.3">
      <c r="B91" s="292"/>
      <c r="C91" s="302" t="s">
        <v>718</v>
      </c>
      <c r="D91" s="363">
        <v>1048834.07</v>
      </c>
      <c r="E91" s="273">
        <v>1390992.63</v>
      </c>
      <c r="F91" s="350"/>
      <c r="G91" s="273">
        <f t="shared" ref="G91:U91" si="24">SUM(G81:G90)</f>
        <v>14069.410000000002</v>
      </c>
      <c r="H91" s="273">
        <f t="shared" si="24"/>
        <v>20153.419999999998</v>
      </c>
      <c r="I91" s="273">
        <f t="shared" si="24"/>
        <v>22032.07</v>
      </c>
      <c r="J91" s="273">
        <f t="shared" si="24"/>
        <v>6300.2000000000007</v>
      </c>
      <c r="K91" s="273">
        <f t="shared" si="24"/>
        <v>3462.16</v>
      </c>
      <c r="L91" s="273">
        <f t="shared" si="24"/>
        <v>4653.08</v>
      </c>
      <c r="M91" s="273">
        <f t="shared" si="24"/>
        <v>0</v>
      </c>
      <c r="N91" s="275">
        <f t="shared" si="24"/>
        <v>0</v>
      </c>
      <c r="O91" s="273">
        <f t="shared" si="24"/>
        <v>0</v>
      </c>
      <c r="P91" s="273">
        <f t="shared" si="24"/>
        <v>0</v>
      </c>
      <c r="Q91" s="273">
        <f t="shared" si="24"/>
        <v>0</v>
      </c>
      <c r="R91" s="273">
        <f t="shared" si="24"/>
        <v>0</v>
      </c>
      <c r="S91" s="273">
        <f t="shared" si="24"/>
        <v>70670.34</v>
      </c>
      <c r="T91" s="273">
        <f t="shared" si="24"/>
        <v>396750</v>
      </c>
      <c r="U91" s="273">
        <f t="shared" si="24"/>
        <v>-326079.65999999997</v>
      </c>
      <c r="V91" s="272">
        <f t="shared" si="22"/>
        <v>0.1781231001890359</v>
      </c>
      <c r="W91" s="263"/>
    </row>
    <row r="92" spans="1:23" ht="15.75" thickTop="1" x14ac:dyDescent="0.25">
      <c r="B92" s="292"/>
      <c r="G92" s="285"/>
      <c r="H92" s="285"/>
      <c r="I92" s="285"/>
      <c r="J92" s="285"/>
      <c r="K92" s="285"/>
      <c r="L92" s="285"/>
      <c r="M92" s="285"/>
      <c r="N92" s="288"/>
      <c r="O92" s="285"/>
      <c r="P92" s="285"/>
      <c r="Q92" s="285"/>
      <c r="R92" s="285"/>
      <c r="S92" s="285"/>
      <c r="T92" s="285"/>
      <c r="U92" s="285"/>
      <c r="V92" s="284"/>
      <c r="W92" s="263"/>
    </row>
    <row r="93" spans="1:23" x14ac:dyDescent="0.25">
      <c r="A93" s="13" t="s">
        <v>717</v>
      </c>
      <c r="B93" s="292"/>
      <c r="G93" s="265"/>
      <c r="H93" s="265"/>
      <c r="I93" s="265"/>
      <c r="J93" s="265"/>
      <c r="K93" s="265"/>
      <c r="L93" s="265"/>
      <c r="M93" s="265"/>
      <c r="N93" s="274"/>
      <c r="O93" s="265"/>
      <c r="P93" s="265"/>
      <c r="Q93" s="265"/>
      <c r="R93" s="265"/>
      <c r="S93" s="265"/>
      <c r="T93" s="265"/>
      <c r="U93" s="265"/>
      <c r="W93" s="263"/>
    </row>
    <row r="94" spans="1:23" ht="15.75" thickBot="1" x14ac:dyDescent="0.3">
      <c r="B94" s="292" t="s">
        <v>716</v>
      </c>
      <c r="C94" t="s">
        <v>715</v>
      </c>
      <c r="D94" s="283">
        <v>279179.65999999997</v>
      </c>
      <c r="E94" s="283">
        <v>321525</v>
      </c>
      <c r="G94" s="273">
        <f t="shared" ref="G94" si="25">I94-H94</f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273">
        <v>0</v>
      </c>
      <c r="O94" s="273">
        <v>0</v>
      </c>
      <c r="P94" s="273">
        <v>0</v>
      </c>
      <c r="Q94" s="273">
        <v>0</v>
      </c>
      <c r="R94" s="273">
        <v>0</v>
      </c>
      <c r="S94" s="273">
        <f t="shared" ref="S94" si="26">SUM(G94:R94)</f>
        <v>0</v>
      </c>
      <c r="T94" s="273">
        <v>272425</v>
      </c>
      <c r="U94" s="273">
        <f>S94-T94</f>
        <v>-272425</v>
      </c>
      <c r="V94" s="272">
        <f>S94/T94</f>
        <v>0</v>
      </c>
      <c r="W94" s="263"/>
    </row>
    <row r="95" spans="1:23" ht="15.75" thickTop="1" x14ac:dyDescent="0.25">
      <c r="B95" s="292"/>
      <c r="G95" s="285"/>
      <c r="H95" s="285"/>
      <c r="I95" s="285"/>
      <c r="J95" s="285"/>
      <c r="K95" s="285"/>
      <c r="L95" s="285"/>
      <c r="M95" s="285"/>
      <c r="N95" s="288"/>
      <c r="O95" s="285"/>
      <c r="P95" s="285"/>
      <c r="Q95" s="285"/>
      <c r="R95" s="285"/>
      <c r="S95" s="285"/>
      <c r="T95" s="285"/>
      <c r="U95" s="285"/>
      <c r="W95" s="263"/>
    </row>
    <row r="96" spans="1:23" ht="20.25" thickBot="1" x14ac:dyDescent="0.35">
      <c r="B96" s="298"/>
      <c r="C96" s="301" t="s">
        <v>714</v>
      </c>
      <c r="D96" s="364">
        <v>15963968.710000001</v>
      </c>
      <c r="E96" s="300">
        <v>15387874.029999999</v>
      </c>
      <c r="F96" s="352"/>
      <c r="G96" s="300">
        <f t="shared" ref="G96:R96" si="27">G94+G91+G78+G75+G67+G52+G35+G28+G17</f>
        <v>1261182.79</v>
      </c>
      <c r="H96" s="300">
        <f t="shared" si="27"/>
        <v>769058.11</v>
      </c>
      <c r="I96" s="300">
        <f t="shared" si="27"/>
        <v>1869197.18</v>
      </c>
      <c r="J96" s="300">
        <f>J94+J91+J78+J75+J67+J52+J35+J28+J17</f>
        <v>1508016.12</v>
      </c>
      <c r="K96" s="300">
        <f t="shared" si="27"/>
        <v>612685.07000000007</v>
      </c>
      <c r="L96" s="300">
        <f t="shared" si="27"/>
        <v>769229.61199999996</v>
      </c>
      <c r="M96" s="300">
        <f t="shared" si="27"/>
        <v>0</v>
      </c>
      <c r="N96" s="300">
        <f t="shared" si="27"/>
        <v>0</v>
      </c>
      <c r="O96" s="300">
        <f t="shared" si="27"/>
        <v>0</v>
      </c>
      <c r="P96" s="300">
        <f t="shared" si="27"/>
        <v>0</v>
      </c>
      <c r="Q96" s="300">
        <f t="shared" si="27"/>
        <v>0</v>
      </c>
      <c r="R96" s="300">
        <f t="shared" si="27"/>
        <v>0</v>
      </c>
      <c r="S96" s="300">
        <f>S94+S91+S78+S75+S67+S52+S35+S28+S17</f>
        <v>6789368.8820000002</v>
      </c>
      <c r="T96" s="300">
        <f>T94+T91+T78+T75+T67+T52+T35+T28+T17</f>
        <v>15598555.67</v>
      </c>
      <c r="U96" s="300">
        <f>U94+U91+U78+U75+U67+U52+U35+U28+U17</f>
        <v>-8809186.7879999988</v>
      </c>
      <c r="V96" s="299">
        <f>S96/T96</f>
        <v>0.43525625228608106</v>
      </c>
      <c r="W96" s="263"/>
    </row>
    <row r="97" spans="1:24" x14ac:dyDescent="0.25">
      <c r="B97" s="292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W97" s="263"/>
    </row>
    <row r="98" spans="1:24" x14ac:dyDescent="0.25">
      <c r="B98" s="292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</row>
    <row r="99" spans="1:24" x14ac:dyDescent="0.25">
      <c r="B99" s="292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</row>
    <row r="100" spans="1:24" ht="15.75" thickBot="1" x14ac:dyDescent="0.3">
      <c r="B100" s="292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</row>
    <row r="101" spans="1:24" ht="15.75" thickBot="1" x14ac:dyDescent="0.3">
      <c r="A101" s="13" t="s">
        <v>713</v>
      </c>
      <c r="B101" s="292"/>
      <c r="G101" s="387" t="s">
        <v>253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9"/>
      <c r="T101" s="265"/>
      <c r="U101" s="280" t="s">
        <v>252</v>
      </c>
    </row>
    <row r="102" spans="1:24" x14ac:dyDescent="0.25">
      <c r="A102" t="s">
        <v>251</v>
      </c>
      <c r="B102" s="292"/>
      <c r="D102" s="361" t="s">
        <v>954</v>
      </c>
      <c r="E102" s="373" t="s">
        <v>956</v>
      </c>
      <c r="G102" s="279" t="s">
        <v>868</v>
      </c>
      <c r="H102" s="279" t="s">
        <v>869</v>
      </c>
      <c r="I102" s="279" t="s">
        <v>870</v>
      </c>
      <c r="J102" s="279" t="s">
        <v>871</v>
      </c>
      <c r="K102" s="279" t="s">
        <v>872</v>
      </c>
      <c r="L102" s="279" t="s">
        <v>873</v>
      </c>
      <c r="M102" s="279" t="s">
        <v>874</v>
      </c>
      <c r="N102" s="279" t="s">
        <v>875</v>
      </c>
      <c r="O102" s="279" t="s">
        <v>876</v>
      </c>
      <c r="P102" s="279" t="s">
        <v>877</v>
      </c>
      <c r="Q102" s="279" t="s">
        <v>878</v>
      </c>
      <c r="R102" s="279" t="s">
        <v>879</v>
      </c>
      <c r="S102" s="310" t="s">
        <v>250</v>
      </c>
      <c r="T102" s="309" t="s">
        <v>880</v>
      </c>
      <c r="U102" s="277" t="s">
        <v>249</v>
      </c>
      <c r="V102" s="276" t="s">
        <v>248</v>
      </c>
      <c r="W102" s="263"/>
    </row>
    <row r="103" spans="1:24" x14ac:dyDescent="0.25">
      <c r="A103" t="s">
        <v>55</v>
      </c>
      <c r="B103" s="291" t="s">
        <v>712</v>
      </c>
      <c r="C103" t="s">
        <v>711</v>
      </c>
      <c r="D103" s="283">
        <v>55000</v>
      </c>
      <c r="E103" s="283">
        <v>55000</v>
      </c>
      <c r="G103" s="265">
        <v>4583.34</v>
      </c>
      <c r="H103" s="265">
        <v>4583.34</v>
      </c>
      <c r="I103" s="265">
        <v>4583.34</v>
      </c>
      <c r="J103" s="265">
        <v>4583.34</v>
      </c>
      <c r="K103" s="265">
        <v>4583.34</v>
      </c>
      <c r="L103" s="265">
        <v>4583.34</v>
      </c>
      <c r="M103" s="265">
        <v>0</v>
      </c>
      <c r="N103" s="265">
        <v>0</v>
      </c>
      <c r="O103" s="274">
        <v>0</v>
      </c>
      <c r="P103" s="274">
        <v>0</v>
      </c>
      <c r="Q103" s="265">
        <v>0</v>
      </c>
      <c r="R103" s="265">
        <v>0</v>
      </c>
      <c r="S103" s="265">
        <f>SUM(G103:R103)</f>
        <v>27500.04</v>
      </c>
      <c r="T103" s="265">
        <v>55000</v>
      </c>
      <c r="U103" s="265">
        <f>T103-S103</f>
        <v>27499.96</v>
      </c>
      <c r="V103" s="262">
        <f>S103/T103</f>
        <v>0.50000072727272726</v>
      </c>
      <c r="W103" s="263"/>
    </row>
    <row r="104" spans="1:24" x14ac:dyDescent="0.25">
      <c r="A104" t="s">
        <v>55</v>
      </c>
      <c r="B104" s="292" t="s">
        <v>710</v>
      </c>
      <c r="C104" t="s">
        <v>709</v>
      </c>
      <c r="D104" s="283">
        <v>42053.03</v>
      </c>
      <c r="E104" s="283">
        <v>43000</v>
      </c>
      <c r="G104" s="265">
        <v>3583.34</v>
      </c>
      <c r="H104" s="265">
        <v>3583.34</v>
      </c>
      <c r="I104" s="265">
        <v>3583.34</v>
      </c>
      <c r="J104" s="265">
        <v>3583.34</v>
      </c>
      <c r="K104" s="265">
        <v>3583.34</v>
      </c>
      <c r="L104" s="265">
        <v>3583.34</v>
      </c>
      <c r="M104" s="265">
        <v>0</v>
      </c>
      <c r="N104" s="265">
        <v>0</v>
      </c>
      <c r="O104" s="274">
        <v>0</v>
      </c>
      <c r="P104" s="274">
        <v>0</v>
      </c>
      <c r="Q104" s="265">
        <v>0</v>
      </c>
      <c r="R104" s="265">
        <v>0</v>
      </c>
      <c r="S104" s="265">
        <f>SUM(G104:R104)</f>
        <v>21500.04</v>
      </c>
      <c r="T104" s="265">
        <v>43000</v>
      </c>
      <c r="U104" s="265">
        <f>T104-S104</f>
        <v>21499.96</v>
      </c>
      <c r="V104" s="262">
        <f>S104/T104</f>
        <v>0.50000093023255821</v>
      </c>
      <c r="W104" s="263"/>
    </row>
    <row r="105" spans="1:24" x14ac:dyDescent="0.25">
      <c r="A105" t="s">
        <v>55</v>
      </c>
      <c r="B105" s="292" t="s">
        <v>708</v>
      </c>
      <c r="C105" t="s">
        <v>707</v>
      </c>
      <c r="D105" s="283">
        <v>23758.44</v>
      </c>
      <c r="E105" s="283">
        <v>25200</v>
      </c>
      <c r="G105" s="265">
        <v>2100</v>
      </c>
      <c r="H105" s="265">
        <v>2100</v>
      </c>
      <c r="I105" s="265">
        <v>2100</v>
      </c>
      <c r="J105" s="265">
        <v>2100</v>
      </c>
      <c r="K105" s="265">
        <v>2100</v>
      </c>
      <c r="L105" s="265">
        <v>2100</v>
      </c>
      <c r="M105" s="265">
        <v>0</v>
      </c>
      <c r="N105" s="265">
        <v>0</v>
      </c>
      <c r="O105" s="274">
        <v>0</v>
      </c>
      <c r="P105" s="274">
        <v>0</v>
      </c>
      <c r="Q105" s="265">
        <v>0</v>
      </c>
      <c r="R105" s="265">
        <v>0</v>
      </c>
      <c r="S105" s="265">
        <f>SUM(G105:R105)</f>
        <v>12600</v>
      </c>
      <c r="T105" s="265">
        <v>25200</v>
      </c>
      <c r="U105" s="265">
        <f>T105-S105</f>
        <v>12600</v>
      </c>
      <c r="V105" s="262">
        <f>S105/T105</f>
        <v>0.5</v>
      </c>
      <c r="W105" s="263"/>
    </row>
    <row r="106" spans="1:24" x14ac:dyDescent="0.25">
      <c r="A106" t="s">
        <v>55</v>
      </c>
      <c r="B106" s="292" t="s">
        <v>706</v>
      </c>
      <c r="C106" t="s">
        <v>647</v>
      </c>
      <c r="D106" s="283">
        <v>3000</v>
      </c>
      <c r="E106" s="283">
        <v>3000</v>
      </c>
      <c r="G106" s="265">
        <v>250</v>
      </c>
      <c r="H106" s="265">
        <v>250</v>
      </c>
      <c r="I106" s="265">
        <v>250</v>
      </c>
      <c r="J106" s="265">
        <v>250</v>
      </c>
      <c r="K106" s="265">
        <v>250</v>
      </c>
      <c r="L106" s="265">
        <v>250</v>
      </c>
      <c r="M106" s="265">
        <v>0</v>
      </c>
      <c r="N106" s="265">
        <v>0</v>
      </c>
      <c r="O106" s="274">
        <v>0</v>
      </c>
      <c r="P106" s="274">
        <v>0</v>
      </c>
      <c r="Q106" s="265">
        <v>0</v>
      </c>
      <c r="R106" s="265">
        <v>0</v>
      </c>
      <c r="S106" s="265">
        <f>SUM(G106:R106)</f>
        <v>1500</v>
      </c>
      <c r="T106" s="265">
        <v>3000</v>
      </c>
      <c r="U106" s="265">
        <f>T106-S106</f>
        <v>1500</v>
      </c>
      <c r="V106" s="262">
        <f>S106/T106</f>
        <v>0.5</v>
      </c>
    </row>
    <row r="107" spans="1:24" ht="15.75" thickBot="1" x14ac:dyDescent="0.3">
      <c r="B107" s="292"/>
      <c r="D107" s="363">
        <v>123811.47</v>
      </c>
      <c r="E107" s="363">
        <v>126200</v>
      </c>
      <c r="F107" s="350"/>
      <c r="G107" s="273">
        <f t="shared" ref="G107:R107" si="28">SUM(G103:G106)</f>
        <v>10516.68</v>
      </c>
      <c r="H107" s="273">
        <f t="shared" si="28"/>
        <v>10516.68</v>
      </c>
      <c r="I107" s="273">
        <f t="shared" si="28"/>
        <v>10516.68</v>
      </c>
      <c r="J107" s="273">
        <f t="shared" si="28"/>
        <v>10516.68</v>
      </c>
      <c r="K107" s="273">
        <f t="shared" si="28"/>
        <v>10516.68</v>
      </c>
      <c r="L107" s="273">
        <f t="shared" si="28"/>
        <v>10516.68</v>
      </c>
      <c r="M107" s="273">
        <f t="shared" si="28"/>
        <v>0</v>
      </c>
      <c r="N107" s="273">
        <f t="shared" si="28"/>
        <v>0</v>
      </c>
      <c r="O107" s="273">
        <f t="shared" si="28"/>
        <v>0</v>
      </c>
      <c r="P107" s="273">
        <f t="shared" si="28"/>
        <v>0</v>
      </c>
      <c r="Q107" s="273">
        <f t="shared" si="28"/>
        <v>0</v>
      </c>
      <c r="R107" s="273">
        <f t="shared" si="28"/>
        <v>0</v>
      </c>
      <c r="S107" s="273">
        <f>SUM(S103:S106)</f>
        <v>63100.08</v>
      </c>
      <c r="T107" s="273">
        <f>SUM(T103:T106)</f>
        <v>126200</v>
      </c>
      <c r="U107" s="273">
        <f>SUM(U103:U106)</f>
        <v>63099.92</v>
      </c>
      <c r="V107" s="272">
        <f>S107/T107</f>
        <v>0.50000063391442162</v>
      </c>
    </row>
    <row r="108" spans="1:24" ht="15.75" thickTop="1" x14ac:dyDescent="0.25">
      <c r="A108" t="s">
        <v>231</v>
      </c>
      <c r="B108" s="292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W108" s="263"/>
    </row>
    <row r="109" spans="1:24" x14ac:dyDescent="0.25">
      <c r="A109" t="s">
        <v>55</v>
      </c>
      <c r="B109" s="291" t="s">
        <v>705</v>
      </c>
      <c r="C109" t="s">
        <v>229</v>
      </c>
      <c r="D109" s="283">
        <v>34388.43</v>
      </c>
      <c r="E109" s="283">
        <v>20000</v>
      </c>
      <c r="G109" s="265">
        <v>4300</v>
      </c>
      <c r="H109" s="265">
        <v>4320</v>
      </c>
      <c r="I109" s="265">
        <v>4300</v>
      </c>
      <c r="J109" s="265">
        <v>4300</v>
      </c>
      <c r="K109" s="265">
        <v>8222.0499999999993</v>
      </c>
      <c r="L109" s="265">
        <v>300</v>
      </c>
      <c r="M109" s="265">
        <v>0</v>
      </c>
      <c r="N109" s="265">
        <v>0</v>
      </c>
      <c r="O109" s="265">
        <v>0</v>
      </c>
      <c r="P109" s="265">
        <v>0</v>
      </c>
      <c r="Q109" s="265">
        <v>0</v>
      </c>
      <c r="R109" s="265">
        <v>0</v>
      </c>
      <c r="S109" s="265">
        <f>SUM(G109:R109)</f>
        <v>25742.05</v>
      </c>
      <c r="T109" s="265">
        <v>35000</v>
      </c>
      <c r="U109" s="265">
        <f t="shared" ref="U109:U121" si="29">T109-S109</f>
        <v>9257.9500000000007</v>
      </c>
      <c r="V109" s="262">
        <f t="shared" ref="V109:V116" si="30">S109/T109</f>
        <v>0.73548714285714278</v>
      </c>
      <c r="W109" s="263"/>
    </row>
    <row r="110" spans="1:24" x14ac:dyDescent="0.25">
      <c r="A110" t="s">
        <v>55</v>
      </c>
      <c r="B110" s="291" t="s">
        <v>704</v>
      </c>
      <c r="C110" t="s">
        <v>703</v>
      </c>
      <c r="D110" s="283">
        <v>480575.45</v>
      </c>
      <c r="E110" s="283">
        <v>318432.71000000002</v>
      </c>
      <c r="G110" s="265">
        <v>5902.38</v>
      </c>
      <c r="H110" s="265">
        <f>-7960.5+30858.65</f>
        <v>22898.15</v>
      </c>
      <c r="I110" s="265">
        <f>2145+58.5</f>
        <v>2203.5</v>
      </c>
      <c r="J110" s="265">
        <v>24248.25</v>
      </c>
      <c r="K110" s="265">
        <v>33226.5</v>
      </c>
      <c r="L110" s="265">
        <v>33513.4</v>
      </c>
      <c r="M110" s="265">
        <v>0</v>
      </c>
      <c r="N110" s="265">
        <v>0</v>
      </c>
      <c r="O110" s="265">
        <v>0</v>
      </c>
      <c r="P110" s="265">
        <v>0</v>
      </c>
      <c r="Q110" s="265">
        <v>0</v>
      </c>
      <c r="R110" s="265">
        <v>0</v>
      </c>
      <c r="S110" s="265">
        <f t="shared" ref="S110:S121" si="31">SUM(G110:R110)</f>
        <v>121992.18</v>
      </c>
      <c r="T110" s="265">
        <v>400000</v>
      </c>
      <c r="U110" s="265">
        <f t="shared" si="29"/>
        <v>278007.82</v>
      </c>
      <c r="V110" s="262">
        <f t="shared" si="30"/>
        <v>0.30498044999999996</v>
      </c>
      <c r="W110" s="263"/>
      <c r="X110" s="263"/>
    </row>
    <row r="111" spans="1:24" x14ac:dyDescent="0.25">
      <c r="A111" t="s">
        <v>55</v>
      </c>
      <c r="B111" s="291" t="s">
        <v>702</v>
      </c>
      <c r="C111" t="s">
        <v>225</v>
      </c>
      <c r="D111" s="283">
        <v>8504.5300000000007</v>
      </c>
      <c r="E111" s="283">
        <v>3000</v>
      </c>
      <c r="G111" s="265">
        <v>993.46</v>
      </c>
      <c r="H111" s="265">
        <v>342.27</v>
      </c>
      <c r="I111" s="265">
        <v>342.09</v>
      </c>
      <c r="J111" s="265">
        <v>2739.55</v>
      </c>
      <c r="K111" s="265">
        <v>969.81</v>
      </c>
      <c r="L111" s="265">
        <v>1313.29</v>
      </c>
      <c r="M111" s="265">
        <v>0</v>
      </c>
      <c r="N111" s="265">
        <v>0</v>
      </c>
      <c r="O111" s="265">
        <v>0</v>
      </c>
      <c r="P111" s="265">
        <v>0</v>
      </c>
      <c r="Q111" s="265">
        <v>0</v>
      </c>
      <c r="R111" s="265">
        <v>0</v>
      </c>
      <c r="S111" s="265">
        <f t="shared" si="31"/>
        <v>6700.47</v>
      </c>
      <c r="T111" s="265">
        <v>3000</v>
      </c>
      <c r="U111" s="265">
        <f t="shared" si="29"/>
        <v>-3700.4700000000003</v>
      </c>
      <c r="V111" s="262">
        <f t="shared" si="30"/>
        <v>2.2334900000000002</v>
      </c>
      <c r="W111" s="263"/>
    </row>
    <row r="112" spans="1:24" x14ac:dyDescent="0.25">
      <c r="A112" t="s">
        <v>55</v>
      </c>
      <c r="B112" s="291" t="s">
        <v>701</v>
      </c>
      <c r="C112" t="s">
        <v>700</v>
      </c>
      <c r="D112" s="283">
        <v>13462.21</v>
      </c>
      <c r="E112" s="283">
        <v>48000</v>
      </c>
      <c r="G112" s="265">
        <v>3189.11</v>
      </c>
      <c r="H112" s="265">
        <v>0</v>
      </c>
      <c r="I112" s="265">
        <v>1937.87</v>
      </c>
      <c r="J112" s="265">
        <v>4231.34</v>
      </c>
      <c r="K112" s="265">
        <v>0</v>
      </c>
      <c r="L112" s="265">
        <v>0</v>
      </c>
      <c r="M112" s="265">
        <v>0</v>
      </c>
      <c r="N112" s="265">
        <v>0</v>
      </c>
      <c r="O112" s="265">
        <v>0</v>
      </c>
      <c r="P112" s="265">
        <v>0</v>
      </c>
      <c r="Q112" s="265">
        <v>0</v>
      </c>
      <c r="R112" s="265">
        <v>0</v>
      </c>
      <c r="S112" s="265">
        <f t="shared" si="31"/>
        <v>9358.32</v>
      </c>
      <c r="T112" s="265">
        <v>12500</v>
      </c>
      <c r="U112" s="265">
        <f t="shared" si="29"/>
        <v>3141.6800000000003</v>
      </c>
      <c r="V112" s="262">
        <f t="shared" si="30"/>
        <v>0.74866559999999993</v>
      </c>
      <c r="W112" s="263"/>
      <c r="X112" s="263"/>
    </row>
    <row r="113" spans="1:23" x14ac:dyDescent="0.25">
      <c r="A113" t="s">
        <v>55</v>
      </c>
      <c r="B113" s="291" t="s">
        <v>699</v>
      </c>
      <c r="C113" t="s">
        <v>221</v>
      </c>
      <c r="D113" s="283">
        <v>196172.36</v>
      </c>
      <c r="E113" s="283">
        <v>95816.15</v>
      </c>
      <c r="G113" s="265">
        <v>26879</v>
      </c>
      <c r="H113" s="265">
        <v>174.88807498943001</v>
      </c>
      <c r="I113" s="265">
        <v>0</v>
      </c>
      <c r="J113" s="265">
        <v>63895.511925010556</v>
      </c>
      <c r="K113" s="265">
        <v>0</v>
      </c>
      <c r="L113" s="265">
        <v>0</v>
      </c>
      <c r="M113" s="265">
        <v>0</v>
      </c>
      <c r="N113" s="265">
        <v>0</v>
      </c>
      <c r="O113" s="265">
        <v>0</v>
      </c>
      <c r="P113" s="265">
        <v>0</v>
      </c>
      <c r="Q113" s="265">
        <v>0</v>
      </c>
      <c r="R113" s="265">
        <v>0</v>
      </c>
      <c r="S113" s="265">
        <f t="shared" si="31"/>
        <v>90949.4</v>
      </c>
      <c r="T113" s="265">
        <v>95816.15</v>
      </c>
      <c r="U113" s="265">
        <f t="shared" si="29"/>
        <v>4866.75</v>
      </c>
      <c r="V113" s="262">
        <f t="shared" si="30"/>
        <v>0.9492074144076964</v>
      </c>
      <c r="W113" s="263"/>
    </row>
    <row r="114" spans="1:23" x14ac:dyDescent="0.25">
      <c r="A114" t="s">
        <v>55</v>
      </c>
      <c r="B114" s="291" t="s">
        <v>698</v>
      </c>
      <c r="C114" t="s">
        <v>697</v>
      </c>
      <c r="D114" s="283">
        <v>1365.72</v>
      </c>
      <c r="E114" s="283">
        <v>1077.21</v>
      </c>
      <c r="G114" s="265">
        <v>0</v>
      </c>
      <c r="H114" s="265">
        <v>0</v>
      </c>
      <c r="I114" s="265">
        <v>0</v>
      </c>
      <c r="J114" s="265">
        <v>401.09712112707166</v>
      </c>
      <c r="K114" s="265">
        <v>0</v>
      </c>
      <c r="L114" s="265">
        <v>0</v>
      </c>
      <c r="M114" s="265">
        <v>0</v>
      </c>
      <c r="N114" s="265">
        <v>0</v>
      </c>
      <c r="O114" s="265">
        <v>0</v>
      </c>
      <c r="P114" s="265">
        <v>0</v>
      </c>
      <c r="Q114" s="265">
        <v>0</v>
      </c>
      <c r="R114" s="265">
        <v>0</v>
      </c>
      <c r="S114" s="265">
        <f t="shared" si="31"/>
        <v>401.09712112707166</v>
      </c>
      <c r="T114" s="265">
        <v>1077.21</v>
      </c>
      <c r="U114" s="265">
        <f t="shared" si="29"/>
        <v>676.11287887292838</v>
      </c>
      <c r="V114" s="262">
        <f t="shared" si="30"/>
        <v>0.37234812258247846</v>
      </c>
      <c r="W114" s="263"/>
    </row>
    <row r="115" spans="1:23" x14ac:dyDescent="0.25">
      <c r="A115" t="s">
        <v>55</v>
      </c>
      <c r="B115" s="291" t="s">
        <v>696</v>
      </c>
      <c r="C115" t="s">
        <v>695</v>
      </c>
      <c r="D115" s="283">
        <v>4896.21</v>
      </c>
      <c r="E115" s="283">
        <v>5000</v>
      </c>
      <c r="G115" s="265">
        <v>0</v>
      </c>
      <c r="H115" s="265">
        <v>170</v>
      </c>
      <c r="I115" s="265">
        <v>0</v>
      </c>
      <c r="J115" s="265">
        <v>1443.85</v>
      </c>
      <c r="K115" s="265">
        <v>329.46</v>
      </c>
      <c r="L115" s="265">
        <v>996.7</v>
      </c>
      <c r="M115" s="265">
        <v>0</v>
      </c>
      <c r="N115" s="265">
        <v>0</v>
      </c>
      <c r="O115" s="265">
        <v>0</v>
      </c>
      <c r="P115" s="265">
        <v>0</v>
      </c>
      <c r="Q115" s="265">
        <v>0</v>
      </c>
      <c r="R115" s="265">
        <v>0</v>
      </c>
      <c r="S115" s="265">
        <f t="shared" si="31"/>
        <v>2940.01</v>
      </c>
      <c r="T115" s="265">
        <v>5000</v>
      </c>
      <c r="U115" s="265">
        <f t="shared" si="29"/>
        <v>2059.9899999999998</v>
      </c>
      <c r="V115" s="262">
        <f t="shared" si="30"/>
        <v>0.58800200000000002</v>
      </c>
      <c r="W115" s="263"/>
    </row>
    <row r="116" spans="1:23" x14ac:dyDescent="0.25">
      <c r="A116" t="s">
        <v>55</v>
      </c>
      <c r="B116" s="292" t="s">
        <v>916</v>
      </c>
      <c r="C116" t="s">
        <v>694</v>
      </c>
      <c r="D116" s="283">
        <v>1161.31</v>
      </c>
      <c r="E116" s="283">
        <v>6000</v>
      </c>
      <c r="G116" s="265">
        <v>236.45999999999998</v>
      </c>
      <c r="H116" s="265">
        <v>175</v>
      </c>
      <c r="I116" s="265">
        <v>0</v>
      </c>
      <c r="J116" s="265">
        <v>400</v>
      </c>
      <c r="K116" s="265">
        <v>655.13</v>
      </c>
      <c r="L116" s="265">
        <v>0</v>
      </c>
      <c r="M116" s="265">
        <v>0</v>
      </c>
      <c r="N116" s="265">
        <v>0</v>
      </c>
      <c r="O116" s="265">
        <v>0</v>
      </c>
      <c r="P116" s="265">
        <v>0</v>
      </c>
      <c r="Q116" s="265">
        <v>0</v>
      </c>
      <c r="R116" s="265">
        <v>0</v>
      </c>
      <c r="S116" s="265">
        <f t="shared" si="31"/>
        <v>1466.5900000000001</v>
      </c>
      <c r="T116" s="265">
        <v>6000</v>
      </c>
      <c r="U116" s="265">
        <f t="shared" si="29"/>
        <v>4533.41</v>
      </c>
      <c r="V116" s="262">
        <f t="shared" si="30"/>
        <v>0.24443166666666669</v>
      </c>
      <c r="W116" s="263"/>
    </row>
    <row r="117" spans="1:23" x14ac:dyDescent="0.25">
      <c r="A117" t="s">
        <v>55</v>
      </c>
      <c r="B117" s="291" t="s">
        <v>693</v>
      </c>
      <c r="C117" t="s">
        <v>316</v>
      </c>
      <c r="D117" s="283">
        <v>1233.6199999999999</v>
      </c>
      <c r="E117" s="283">
        <v>0</v>
      </c>
      <c r="G117" s="265">
        <v>755.23</v>
      </c>
      <c r="H117" s="265">
        <v>0</v>
      </c>
      <c r="I117" s="265">
        <v>0</v>
      </c>
      <c r="J117" s="265">
        <v>0</v>
      </c>
      <c r="K117" s="265">
        <v>0</v>
      </c>
      <c r="L117" s="265">
        <v>0</v>
      </c>
      <c r="M117" s="265">
        <v>0</v>
      </c>
      <c r="N117" s="265">
        <v>0</v>
      </c>
      <c r="O117" s="265">
        <v>0</v>
      </c>
      <c r="P117" s="265">
        <v>0</v>
      </c>
      <c r="Q117" s="265">
        <v>0</v>
      </c>
      <c r="R117" s="265">
        <v>0</v>
      </c>
      <c r="S117" s="265">
        <f t="shared" si="31"/>
        <v>755.23</v>
      </c>
      <c r="T117" s="265">
        <v>0</v>
      </c>
      <c r="U117" s="265">
        <f t="shared" si="29"/>
        <v>-755.23</v>
      </c>
      <c r="V117" s="262">
        <v>0</v>
      </c>
      <c r="W117" s="263"/>
    </row>
    <row r="118" spans="1:23" x14ac:dyDescent="0.25">
      <c r="A118" t="s">
        <v>55</v>
      </c>
      <c r="B118" s="291" t="s">
        <v>692</v>
      </c>
      <c r="C118" t="s">
        <v>691</v>
      </c>
      <c r="D118" s="283">
        <v>9651.84</v>
      </c>
      <c r="E118" s="283">
        <v>15000</v>
      </c>
      <c r="G118" s="265">
        <v>391.56999999999971</v>
      </c>
      <c r="H118" s="265">
        <v>2146.13</v>
      </c>
      <c r="I118" s="265">
        <v>3428.5</v>
      </c>
      <c r="J118" s="265">
        <v>1042</v>
      </c>
      <c r="K118" s="265">
        <v>2171.9</v>
      </c>
      <c r="L118" s="265">
        <v>880</v>
      </c>
      <c r="M118" s="265">
        <v>0</v>
      </c>
      <c r="N118" s="265">
        <v>0</v>
      </c>
      <c r="O118" s="265">
        <v>0</v>
      </c>
      <c r="P118" s="265">
        <v>0</v>
      </c>
      <c r="Q118" s="265">
        <v>0</v>
      </c>
      <c r="R118" s="265">
        <v>0</v>
      </c>
      <c r="S118" s="265">
        <f t="shared" si="31"/>
        <v>10060.1</v>
      </c>
      <c r="T118" s="265">
        <v>8500</v>
      </c>
      <c r="U118" s="265">
        <f t="shared" si="29"/>
        <v>-1560.1000000000004</v>
      </c>
      <c r="V118" s="262">
        <f>S118/T118</f>
        <v>1.1835411764705883</v>
      </c>
      <c r="W118" s="263"/>
    </row>
    <row r="119" spans="1:23" x14ac:dyDescent="0.25">
      <c r="A119" t="s">
        <v>55</v>
      </c>
      <c r="B119" s="291" t="s">
        <v>690</v>
      </c>
      <c r="C119" t="s">
        <v>689</v>
      </c>
      <c r="D119" s="283">
        <v>0</v>
      </c>
      <c r="E119" s="283">
        <v>1000</v>
      </c>
      <c r="G119" s="265">
        <v>0</v>
      </c>
      <c r="H119" s="265">
        <v>0</v>
      </c>
      <c r="I119" s="265">
        <v>0</v>
      </c>
      <c r="J119" s="265">
        <v>0</v>
      </c>
      <c r="K119" s="265">
        <v>0</v>
      </c>
      <c r="L119" s="265">
        <v>0</v>
      </c>
      <c r="M119" s="265">
        <v>0</v>
      </c>
      <c r="N119" s="265">
        <v>0</v>
      </c>
      <c r="O119" s="265">
        <v>0</v>
      </c>
      <c r="P119" s="265">
        <v>0</v>
      </c>
      <c r="Q119" s="265">
        <v>0</v>
      </c>
      <c r="R119" s="265">
        <v>0</v>
      </c>
      <c r="S119" s="265">
        <f t="shared" si="31"/>
        <v>0</v>
      </c>
      <c r="T119" s="265">
        <v>1000</v>
      </c>
      <c r="U119" s="265">
        <f t="shared" si="29"/>
        <v>1000</v>
      </c>
      <c r="V119" s="262">
        <f>S119/T119</f>
        <v>0</v>
      </c>
      <c r="W119" s="263"/>
    </row>
    <row r="120" spans="1:23" x14ac:dyDescent="0.25">
      <c r="B120" s="291" t="s">
        <v>688</v>
      </c>
      <c r="C120" t="s">
        <v>595</v>
      </c>
      <c r="D120" s="283">
        <v>7.98</v>
      </c>
      <c r="E120" s="283">
        <v>0</v>
      </c>
      <c r="G120" s="265">
        <v>0</v>
      </c>
      <c r="H120" s="265">
        <v>0</v>
      </c>
      <c r="I120" s="265">
        <v>0</v>
      </c>
      <c r="J120" s="265">
        <v>0</v>
      </c>
      <c r="K120" s="265">
        <v>0</v>
      </c>
      <c r="L120" s="265">
        <v>0</v>
      </c>
      <c r="M120" s="265">
        <v>0</v>
      </c>
      <c r="N120" s="265">
        <v>0</v>
      </c>
      <c r="O120" s="265">
        <v>0</v>
      </c>
      <c r="P120" s="265">
        <v>0</v>
      </c>
      <c r="Q120" s="265">
        <v>0</v>
      </c>
      <c r="R120" s="265">
        <v>0</v>
      </c>
      <c r="S120" s="265">
        <f t="shared" si="31"/>
        <v>0</v>
      </c>
      <c r="T120" s="265">
        <v>0</v>
      </c>
      <c r="U120" s="265">
        <f t="shared" si="29"/>
        <v>0</v>
      </c>
      <c r="V120" s="262">
        <v>0</v>
      </c>
      <c r="W120" s="263"/>
    </row>
    <row r="121" spans="1:23" x14ac:dyDescent="0.25">
      <c r="A121" t="s">
        <v>55</v>
      </c>
      <c r="B121" s="291" t="s">
        <v>687</v>
      </c>
      <c r="C121" t="s">
        <v>190</v>
      </c>
      <c r="D121" s="283">
        <v>15178.41</v>
      </c>
      <c r="E121" s="283">
        <v>10500</v>
      </c>
      <c r="G121" s="265">
        <v>597.78</v>
      </c>
      <c r="H121" s="265">
        <v>428.99</v>
      </c>
      <c r="I121" s="265">
        <v>1717.24</v>
      </c>
      <c r="J121" s="265">
        <v>9527.9500000000007</v>
      </c>
      <c r="K121" s="265">
        <v>49.97</v>
      </c>
      <c r="L121" s="265">
        <v>36.4</v>
      </c>
      <c r="M121" s="265">
        <v>0</v>
      </c>
      <c r="N121" s="265">
        <v>0</v>
      </c>
      <c r="O121" s="265">
        <v>0</v>
      </c>
      <c r="P121" s="265">
        <v>0</v>
      </c>
      <c r="Q121" s="265">
        <v>0</v>
      </c>
      <c r="R121" s="265">
        <v>0</v>
      </c>
      <c r="S121" s="265">
        <f t="shared" si="31"/>
        <v>12358.33</v>
      </c>
      <c r="T121" s="265">
        <v>12500</v>
      </c>
      <c r="U121" s="265">
        <f t="shared" si="29"/>
        <v>141.67000000000007</v>
      </c>
      <c r="V121" s="262">
        <f>S121/T121</f>
        <v>0.98866639999999995</v>
      </c>
      <c r="W121" s="263"/>
    </row>
    <row r="122" spans="1:23" ht="15.75" thickBot="1" x14ac:dyDescent="0.3">
      <c r="B122" s="292"/>
      <c r="D122" s="363">
        <v>766598.07</v>
      </c>
      <c r="E122" s="363">
        <f>SUM(E109:E121)</f>
        <v>523826.07</v>
      </c>
      <c r="F122" s="350"/>
      <c r="G122" s="273">
        <f t="shared" ref="G122:R122" si="32">SUM(G109:G121)</f>
        <v>43244.99</v>
      </c>
      <c r="H122" s="273">
        <f>SUM(H109:H121)</f>
        <v>30655.428074989435</v>
      </c>
      <c r="I122" s="273">
        <f t="shared" si="32"/>
        <v>13929.199999999999</v>
      </c>
      <c r="J122" s="273">
        <f t="shared" si="32"/>
        <v>112229.54904613762</v>
      </c>
      <c r="K122" s="273">
        <f t="shared" si="32"/>
        <v>45624.82</v>
      </c>
      <c r="L122" s="273">
        <f t="shared" si="32"/>
        <v>37039.79</v>
      </c>
      <c r="M122" s="273">
        <f t="shared" si="32"/>
        <v>0</v>
      </c>
      <c r="N122" s="273">
        <f t="shared" si="32"/>
        <v>0</v>
      </c>
      <c r="O122" s="273">
        <f t="shared" si="32"/>
        <v>0</v>
      </c>
      <c r="P122" s="273">
        <f t="shared" si="32"/>
        <v>0</v>
      </c>
      <c r="Q122" s="273">
        <f t="shared" si="32"/>
        <v>0</v>
      </c>
      <c r="R122" s="273">
        <f t="shared" si="32"/>
        <v>0</v>
      </c>
      <c r="S122" s="273">
        <f>SUM(S109:S121)</f>
        <v>282723.77712112706</v>
      </c>
      <c r="T122" s="273">
        <f>SUM(T109:T121)</f>
        <v>580393.36</v>
      </c>
      <c r="U122" s="273">
        <f>SUM(U109:U121)</f>
        <v>297669.58287887299</v>
      </c>
      <c r="V122" s="272">
        <f>S122/T122</f>
        <v>0.48712441700078557</v>
      </c>
      <c r="W122" s="263"/>
    </row>
    <row r="123" spans="1:23" ht="15.75" thickTop="1" x14ac:dyDescent="0.25">
      <c r="A123" t="s">
        <v>187</v>
      </c>
      <c r="B123" s="292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W123" s="263"/>
    </row>
    <row r="124" spans="1:23" x14ac:dyDescent="0.25">
      <c r="A124" t="s">
        <v>55</v>
      </c>
      <c r="B124" s="291" t="s">
        <v>686</v>
      </c>
      <c r="C124" t="s">
        <v>185</v>
      </c>
      <c r="D124" s="283">
        <v>19325.259999999998</v>
      </c>
      <c r="E124" s="283">
        <v>18733.05</v>
      </c>
      <c r="G124" s="265">
        <v>1450.48</v>
      </c>
      <c r="H124" s="265">
        <v>1568.6</v>
      </c>
      <c r="I124" s="265">
        <v>1456</v>
      </c>
      <c r="J124" s="265">
        <v>1456</v>
      </c>
      <c r="K124" s="265">
        <v>1456</v>
      </c>
      <c r="L124" s="265">
        <v>1456</v>
      </c>
      <c r="M124" s="265">
        <v>0</v>
      </c>
      <c r="N124" s="265">
        <v>0</v>
      </c>
      <c r="O124" s="265">
        <v>0</v>
      </c>
      <c r="P124" s="265">
        <v>0</v>
      </c>
      <c r="Q124" s="265">
        <v>0</v>
      </c>
      <c r="R124" s="265">
        <v>0</v>
      </c>
      <c r="S124" s="265">
        <f t="shared" ref="S124:S129" si="33">SUM(G124:R124)</f>
        <v>8843.08</v>
      </c>
      <c r="T124" s="265">
        <v>18733.05</v>
      </c>
      <c r="U124" s="265">
        <f t="shared" ref="U124:U129" si="34">T124-S124</f>
        <v>9889.9699999999993</v>
      </c>
      <c r="V124" s="262">
        <f>S124/T124</f>
        <v>0.47205767347015037</v>
      </c>
      <c r="W124" s="263"/>
    </row>
    <row r="125" spans="1:23" x14ac:dyDescent="0.25">
      <c r="A125" t="s">
        <v>55</v>
      </c>
      <c r="B125" s="292" t="s">
        <v>685</v>
      </c>
      <c r="C125" t="s">
        <v>183</v>
      </c>
      <c r="D125" s="283">
        <v>1063.82</v>
      </c>
      <c r="E125" s="283">
        <v>72</v>
      </c>
      <c r="G125" s="265">
        <v>87.52</v>
      </c>
      <c r="H125" s="265">
        <v>0</v>
      </c>
      <c r="I125" s="265">
        <v>87.52</v>
      </c>
      <c r="J125" s="265">
        <v>102.47</v>
      </c>
      <c r="K125" s="265">
        <v>87.52</v>
      </c>
      <c r="L125" s="265">
        <v>87.52</v>
      </c>
      <c r="M125" s="265">
        <v>0</v>
      </c>
      <c r="N125" s="265">
        <v>0</v>
      </c>
      <c r="O125" s="265">
        <v>0</v>
      </c>
      <c r="P125" s="265">
        <v>0</v>
      </c>
      <c r="Q125" s="265">
        <v>0</v>
      </c>
      <c r="R125" s="265">
        <v>0</v>
      </c>
      <c r="S125" s="265">
        <f t="shared" si="33"/>
        <v>452.54999999999995</v>
      </c>
      <c r="T125" s="265">
        <v>72</v>
      </c>
      <c r="U125" s="265">
        <f t="shared" si="34"/>
        <v>-380.54999999999995</v>
      </c>
      <c r="V125" s="262">
        <f>S125/T125</f>
        <v>6.2854166666666664</v>
      </c>
      <c r="W125" s="263"/>
    </row>
    <row r="126" spans="1:23" x14ac:dyDescent="0.25">
      <c r="A126" t="s">
        <v>55</v>
      </c>
      <c r="B126" s="292" t="s">
        <v>684</v>
      </c>
      <c r="C126" t="s">
        <v>181</v>
      </c>
      <c r="D126" s="283">
        <v>149.5</v>
      </c>
      <c r="E126" s="283">
        <v>179.4</v>
      </c>
      <c r="G126" s="265">
        <v>14.95</v>
      </c>
      <c r="H126" s="265">
        <v>14.95</v>
      </c>
      <c r="I126" s="265">
        <v>0</v>
      </c>
      <c r="J126" s="265">
        <v>14.95</v>
      </c>
      <c r="K126" s="265">
        <v>0</v>
      </c>
      <c r="L126" s="265">
        <v>29.9</v>
      </c>
      <c r="M126" s="265">
        <v>0</v>
      </c>
      <c r="N126" s="265">
        <v>0</v>
      </c>
      <c r="O126" s="265">
        <v>0</v>
      </c>
      <c r="P126" s="265">
        <v>0</v>
      </c>
      <c r="Q126" s="265">
        <v>0</v>
      </c>
      <c r="R126" s="265">
        <v>0</v>
      </c>
      <c r="S126" s="265">
        <f t="shared" si="33"/>
        <v>74.75</v>
      </c>
      <c r="T126" s="265">
        <v>179.4</v>
      </c>
      <c r="U126" s="265">
        <f t="shared" si="34"/>
        <v>104.65</v>
      </c>
      <c r="V126" s="262">
        <f>S126/T126</f>
        <v>0.41666666666666663</v>
      </c>
      <c r="W126" s="263"/>
    </row>
    <row r="127" spans="1:23" x14ac:dyDescent="0.25">
      <c r="A127" t="s">
        <v>55</v>
      </c>
      <c r="B127" s="292" t="s">
        <v>683</v>
      </c>
      <c r="C127" t="s">
        <v>179</v>
      </c>
      <c r="D127" s="283">
        <v>67.55</v>
      </c>
      <c r="E127" s="283">
        <v>682.8</v>
      </c>
      <c r="G127" s="265">
        <v>0</v>
      </c>
      <c r="H127" s="265">
        <v>0</v>
      </c>
      <c r="I127" s="265">
        <v>0</v>
      </c>
      <c r="J127" s="265">
        <v>0</v>
      </c>
      <c r="K127" s="265">
        <v>0</v>
      </c>
      <c r="L127" s="265">
        <v>0</v>
      </c>
      <c r="M127" s="265">
        <v>0</v>
      </c>
      <c r="N127" s="265">
        <v>0</v>
      </c>
      <c r="O127" s="265">
        <v>0</v>
      </c>
      <c r="P127" s="265">
        <v>0</v>
      </c>
      <c r="Q127" s="265">
        <v>0</v>
      </c>
      <c r="R127" s="265">
        <v>0</v>
      </c>
      <c r="S127" s="265">
        <f t="shared" si="33"/>
        <v>0</v>
      </c>
      <c r="T127" s="265">
        <v>682.8</v>
      </c>
      <c r="U127" s="265">
        <f t="shared" si="34"/>
        <v>682.8</v>
      </c>
      <c r="V127" s="262">
        <f>S127/T127</f>
        <v>0</v>
      </c>
      <c r="W127" s="263"/>
    </row>
    <row r="128" spans="1:23" x14ac:dyDescent="0.25">
      <c r="A128" t="s">
        <v>55</v>
      </c>
      <c r="B128" s="291" t="s">
        <v>682</v>
      </c>
      <c r="C128" t="s">
        <v>177</v>
      </c>
      <c r="D128" s="283">
        <v>3136.45</v>
      </c>
      <c r="E128" s="283">
        <v>0</v>
      </c>
      <c r="G128" s="265">
        <v>267</v>
      </c>
      <c r="H128" s="265">
        <v>267</v>
      </c>
      <c r="I128" s="265">
        <v>267</v>
      </c>
      <c r="J128" s="265">
        <v>267</v>
      </c>
      <c r="K128" s="265">
        <v>267</v>
      </c>
      <c r="L128" s="265">
        <v>267</v>
      </c>
      <c r="M128" s="265">
        <v>0</v>
      </c>
      <c r="N128" s="265">
        <v>0</v>
      </c>
      <c r="O128" s="265">
        <v>0</v>
      </c>
      <c r="P128" s="265">
        <v>0</v>
      </c>
      <c r="Q128" s="265">
        <v>0</v>
      </c>
      <c r="R128" s="265">
        <v>0</v>
      </c>
      <c r="S128" s="265">
        <f t="shared" si="33"/>
        <v>1602</v>
      </c>
      <c r="T128" s="265">
        <v>0</v>
      </c>
      <c r="U128" s="265">
        <f t="shared" si="34"/>
        <v>-1602</v>
      </c>
      <c r="V128" s="262">
        <v>0</v>
      </c>
      <c r="W128" s="263"/>
    </row>
    <row r="129" spans="1:23" x14ac:dyDescent="0.25">
      <c r="A129" t="s">
        <v>55</v>
      </c>
      <c r="B129" s="292" t="s">
        <v>681</v>
      </c>
      <c r="C129" t="s">
        <v>175</v>
      </c>
      <c r="D129" s="283">
        <v>685.03</v>
      </c>
      <c r="E129" s="283">
        <v>810.93</v>
      </c>
      <c r="G129" s="265">
        <v>77.08</v>
      </c>
      <c r="H129" s="265">
        <v>77.08</v>
      </c>
      <c r="I129" s="265">
        <v>77.08</v>
      </c>
      <c r="J129" s="265">
        <v>77.08</v>
      </c>
      <c r="K129" s="265">
        <v>77.08</v>
      </c>
      <c r="L129" s="265">
        <v>77.08</v>
      </c>
      <c r="M129" s="265">
        <v>0</v>
      </c>
      <c r="N129" s="265">
        <v>0</v>
      </c>
      <c r="O129" s="265">
        <v>0</v>
      </c>
      <c r="P129" s="265">
        <v>0</v>
      </c>
      <c r="Q129" s="265">
        <v>0</v>
      </c>
      <c r="R129" s="263">
        <v>0</v>
      </c>
      <c r="S129" s="265">
        <f t="shared" si="33"/>
        <v>462.47999999999996</v>
      </c>
      <c r="T129" s="265">
        <v>0</v>
      </c>
      <c r="U129" s="265">
        <f t="shared" si="34"/>
        <v>-462.47999999999996</v>
      </c>
      <c r="V129" s="262">
        <v>0</v>
      </c>
      <c r="W129" s="263"/>
    </row>
    <row r="130" spans="1:23" ht="15.75" thickBot="1" x14ac:dyDescent="0.3">
      <c r="B130" s="292"/>
      <c r="D130" s="363">
        <v>24427.609999999997</v>
      </c>
      <c r="E130" s="363">
        <v>20478.18</v>
      </c>
      <c r="F130" s="350"/>
      <c r="G130" s="273">
        <f t="shared" ref="G130:R130" si="35">SUM(G124:G129)</f>
        <v>1897.03</v>
      </c>
      <c r="H130" s="273">
        <f t="shared" si="35"/>
        <v>1927.6299999999999</v>
      </c>
      <c r="I130" s="273">
        <f t="shared" si="35"/>
        <v>1887.6</v>
      </c>
      <c r="J130" s="273">
        <f t="shared" si="35"/>
        <v>1917.5</v>
      </c>
      <c r="K130" s="273">
        <f t="shared" si="35"/>
        <v>1887.6</v>
      </c>
      <c r="L130" s="273">
        <f t="shared" si="35"/>
        <v>1917.5</v>
      </c>
      <c r="M130" s="273">
        <f t="shared" si="35"/>
        <v>0</v>
      </c>
      <c r="N130" s="273">
        <f t="shared" si="35"/>
        <v>0</v>
      </c>
      <c r="O130" s="273">
        <f t="shared" si="35"/>
        <v>0</v>
      </c>
      <c r="P130" s="273">
        <f t="shared" si="35"/>
        <v>0</v>
      </c>
      <c r="Q130" s="273">
        <f t="shared" si="35"/>
        <v>0</v>
      </c>
      <c r="R130" s="273">
        <f t="shared" si="35"/>
        <v>0</v>
      </c>
      <c r="S130" s="273">
        <f>SUM(S124:S129)</f>
        <v>11434.859999999999</v>
      </c>
      <c r="T130" s="273">
        <f>SUM(T124:T129)</f>
        <v>19667.25</v>
      </c>
      <c r="U130" s="273">
        <f>SUM(U124:U129)</f>
        <v>8232.39</v>
      </c>
      <c r="V130" s="272">
        <f>S130/T130</f>
        <v>0.58141631392289206</v>
      </c>
    </row>
    <row r="131" spans="1:23" ht="15.75" thickTop="1" x14ac:dyDescent="0.25">
      <c r="A131" t="s">
        <v>174</v>
      </c>
      <c r="B131" s="292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W131" s="263"/>
    </row>
    <row r="132" spans="1:23" x14ac:dyDescent="0.25">
      <c r="A132" t="s">
        <v>55</v>
      </c>
      <c r="B132" s="291" t="s">
        <v>680</v>
      </c>
      <c r="C132" t="s">
        <v>168</v>
      </c>
      <c r="D132" s="283">
        <v>0</v>
      </c>
      <c r="E132" s="283">
        <v>720</v>
      </c>
      <c r="G132" s="265">
        <f>2.21000000000001+8.83</f>
        <v>11.04000000000001</v>
      </c>
      <c r="H132" s="265">
        <v>139.1</v>
      </c>
      <c r="I132" s="265">
        <v>6.22</v>
      </c>
      <c r="J132" s="265">
        <v>13.89</v>
      </c>
      <c r="K132" s="265">
        <v>0</v>
      </c>
      <c r="L132" s="265">
        <v>109.84</v>
      </c>
      <c r="M132" s="274">
        <v>0</v>
      </c>
      <c r="N132" s="274">
        <v>0</v>
      </c>
      <c r="O132" s="274">
        <v>0</v>
      </c>
      <c r="P132" s="274">
        <v>0</v>
      </c>
      <c r="Q132" s="274">
        <v>0</v>
      </c>
      <c r="R132" s="265">
        <v>0</v>
      </c>
      <c r="S132" s="265">
        <f t="shared" ref="S132:S134" si="36">SUM(G132:R132)</f>
        <v>280.09000000000003</v>
      </c>
      <c r="T132" s="265">
        <v>720</v>
      </c>
      <c r="U132" s="265">
        <f>T132-S132</f>
        <v>439.90999999999997</v>
      </c>
      <c r="V132" s="262">
        <f>S132/T132</f>
        <v>0.38901388888888894</v>
      </c>
      <c r="W132" s="263"/>
    </row>
    <row r="133" spans="1:23" x14ac:dyDescent="0.25">
      <c r="A133" t="s">
        <v>55</v>
      </c>
      <c r="B133" s="291" t="s">
        <v>679</v>
      </c>
      <c r="C133" t="s">
        <v>678</v>
      </c>
      <c r="D133" s="283">
        <v>585.37</v>
      </c>
      <c r="E133" s="283">
        <v>1000</v>
      </c>
      <c r="G133" s="265">
        <v>92.95</v>
      </c>
      <c r="H133" s="265">
        <v>107.95</v>
      </c>
      <c r="I133" s="265">
        <v>57.95</v>
      </c>
      <c r="J133" s="265">
        <v>0</v>
      </c>
      <c r="K133" s="265">
        <v>145.94999999999999</v>
      </c>
      <c r="L133" s="265">
        <v>-1.05</v>
      </c>
      <c r="M133" s="274">
        <v>0</v>
      </c>
      <c r="N133" s="274">
        <v>0</v>
      </c>
      <c r="O133" s="274">
        <v>0</v>
      </c>
      <c r="P133" s="274">
        <v>0</v>
      </c>
      <c r="Q133" s="274">
        <v>0</v>
      </c>
      <c r="R133" s="265">
        <v>0</v>
      </c>
      <c r="S133" s="265">
        <f t="shared" si="36"/>
        <v>403.75</v>
      </c>
      <c r="T133" s="265">
        <v>500</v>
      </c>
      <c r="U133" s="265">
        <f>T133-S133</f>
        <v>96.25</v>
      </c>
      <c r="V133" s="262">
        <f>S133/T133</f>
        <v>0.8075</v>
      </c>
      <c r="W133" s="263"/>
    </row>
    <row r="134" spans="1:23" x14ac:dyDescent="0.25">
      <c r="A134" t="s">
        <v>55</v>
      </c>
      <c r="B134" s="291" t="s">
        <v>677</v>
      </c>
      <c r="C134" t="s">
        <v>676</v>
      </c>
      <c r="D134" s="283">
        <v>9306.5300000000007</v>
      </c>
      <c r="E134" s="283">
        <v>2000</v>
      </c>
      <c r="G134" s="265">
        <v>700.24</v>
      </c>
      <c r="H134" s="265">
        <v>1415.47</v>
      </c>
      <c r="I134" s="265">
        <v>451.04</v>
      </c>
      <c r="J134" s="265">
        <v>0</v>
      </c>
      <c r="K134" s="265">
        <v>567.91999999999996</v>
      </c>
      <c r="L134" s="265">
        <v>92.45</v>
      </c>
      <c r="M134" s="274">
        <v>0</v>
      </c>
      <c r="N134" s="274">
        <v>0</v>
      </c>
      <c r="O134" s="274">
        <v>0</v>
      </c>
      <c r="P134" s="274">
        <v>0</v>
      </c>
      <c r="Q134" s="274">
        <v>0</v>
      </c>
      <c r="R134" s="265">
        <v>0</v>
      </c>
      <c r="S134" s="265">
        <f t="shared" si="36"/>
        <v>3227.12</v>
      </c>
      <c r="T134" s="265">
        <v>10000</v>
      </c>
      <c r="U134" s="265">
        <f>T134-S134</f>
        <v>6772.88</v>
      </c>
      <c r="V134" s="262">
        <f>S134/T134</f>
        <v>0.322712</v>
      </c>
      <c r="W134" s="263"/>
    </row>
    <row r="135" spans="1:23" ht="15.75" thickBot="1" x14ac:dyDescent="0.3">
      <c r="B135" s="292"/>
      <c r="D135" s="363">
        <v>9891.9000000000015</v>
      </c>
      <c r="E135" s="363">
        <v>3720</v>
      </c>
      <c r="F135" s="350"/>
      <c r="G135" s="273">
        <f t="shared" ref="G135:R135" si="37">SUM(G132:G134)</f>
        <v>804.23</v>
      </c>
      <c r="H135" s="273">
        <f t="shared" si="37"/>
        <v>1662.52</v>
      </c>
      <c r="I135" s="273">
        <f t="shared" si="37"/>
        <v>515.21</v>
      </c>
      <c r="J135" s="273">
        <f t="shared" si="37"/>
        <v>13.89</v>
      </c>
      <c r="K135" s="273">
        <f t="shared" si="37"/>
        <v>713.86999999999989</v>
      </c>
      <c r="L135" s="273">
        <f t="shared" si="37"/>
        <v>201.24</v>
      </c>
      <c r="M135" s="275">
        <f t="shared" si="37"/>
        <v>0</v>
      </c>
      <c r="N135" s="275">
        <f t="shared" si="37"/>
        <v>0</v>
      </c>
      <c r="O135" s="275">
        <f t="shared" si="37"/>
        <v>0</v>
      </c>
      <c r="P135" s="275">
        <f t="shared" si="37"/>
        <v>0</v>
      </c>
      <c r="Q135" s="275">
        <f t="shared" si="37"/>
        <v>0</v>
      </c>
      <c r="R135" s="275">
        <f t="shared" si="37"/>
        <v>0</v>
      </c>
      <c r="S135" s="273">
        <f>SUM(S132:S134)</f>
        <v>3910.96</v>
      </c>
      <c r="T135" s="273">
        <f>SUM(T132:T134)</f>
        <v>11220</v>
      </c>
      <c r="U135" s="273">
        <f>SUM(U132:U134)</f>
        <v>7309.04</v>
      </c>
      <c r="V135" s="272">
        <f>S135/T135</f>
        <v>0.3485704099821747</v>
      </c>
    </row>
    <row r="136" spans="1:23" ht="15.75" thickTop="1" x14ac:dyDescent="0.25">
      <c r="A136" t="s">
        <v>145</v>
      </c>
      <c r="B136" s="292"/>
      <c r="G136" s="265"/>
      <c r="H136" s="265"/>
      <c r="I136" s="265"/>
      <c r="J136" s="265"/>
      <c r="K136" s="265"/>
      <c r="L136" s="265"/>
      <c r="M136" s="274"/>
      <c r="N136" s="274"/>
      <c r="O136" s="274"/>
      <c r="P136" s="274"/>
      <c r="Q136" s="274"/>
      <c r="R136" s="265"/>
      <c r="S136" s="265"/>
      <c r="T136" s="265"/>
      <c r="U136" s="265"/>
      <c r="W136" s="263"/>
    </row>
    <row r="137" spans="1:23" x14ac:dyDescent="0.25">
      <c r="A137" t="s">
        <v>55</v>
      </c>
      <c r="B137" s="291" t="s">
        <v>675</v>
      </c>
      <c r="C137" t="s">
        <v>674</v>
      </c>
      <c r="D137" s="283">
        <v>0</v>
      </c>
      <c r="E137" s="283">
        <v>0</v>
      </c>
      <c r="G137" s="265">
        <v>0</v>
      </c>
      <c r="H137" s="265">
        <v>0</v>
      </c>
      <c r="I137" s="265">
        <v>0</v>
      </c>
      <c r="J137" s="265">
        <v>0</v>
      </c>
      <c r="K137" s="265">
        <v>0</v>
      </c>
      <c r="L137" s="265">
        <v>0</v>
      </c>
      <c r="M137" s="265">
        <v>0</v>
      </c>
      <c r="N137" s="265">
        <v>0</v>
      </c>
      <c r="O137" s="265">
        <v>0</v>
      </c>
      <c r="P137" s="265">
        <v>0</v>
      </c>
      <c r="Q137" s="265">
        <v>0</v>
      </c>
      <c r="R137" s="265">
        <v>0</v>
      </c>
      <c r="S137" s="265">
        <f>SUM(G137:R137)</f>
        <v>0</v>
      </c>
      <c r="T137" s="265">
        <v>0</v>
      </c>
      <c r="U137" s="265">
        <f>T137-S137</f>
        <v>0</v>
      </c>
      <c r="V137" s="262">
        <v>0</v>
      </c>
      <c r="W137" s="263"/>
    </row>
    <row r="138" spans="1:23" x14ac:dyDescent="0.25">
      <c r="A138" t="s">
        <v>55</v>
      </c>
      <c r="B138" s="291" t="s">
        <v>673</v>
      </c>
      <c r="C138" t="s">
        <v>270</v>
      </c>
      <c r="D138" s="283">
        <v>13344.19</v>
      </c>
      <c r="E138" s="283">
        <v>0</v>
      </c>
      <c r="G138" s="265">
        <v>0</v>
      </c>
      <c r="H138" s="265">
        <v>0</v>
      </c>
      <c r="I138" s="265">
        <v>0</v>
      </c>
      <c r="J138" s="265">
        <v>0</v>
      </c>
      <c r="K138" s="265">
        <v>0</v>
      </c>
      <c r="L138" s="265">
        <v>0</v>
      </c>
      <c r="M138" s="265">
        <v>0</v>
      </c>
      <c r="N138" s="265">
        <v>0</v>
      </c>
      <c r="O138" s="265">
        <v>0</v>
      </c>
      <c r="P138" s="265">
        <v>0</v>
      </c>
      <c r="Q138" s="265">
        <v>0</v>
      </c>
      <c r="R138" s="265">
        <v>0</v>
      </c>
      <c r="S138" s="265">
        <f>SUM(G138:R138)</f>
        <v>0</v>
      </c>
      <c r="T138" s="265">
        <v>0</v>
      </c>
      <c r="U138" s="265">
        <f>T138-S138</f>
        <v>0</v>
      </c>
      <c r="V138" s="262">
        <v>0</v>
      </c>
      <c r="W138" s="263"/>
    </row>
    <row r="139" spans="1:23" x14ac:dyDescent="0.25">
      <c r="A139" t="s">
        <v>55</v>
      </c>
      <c r="B139" s="291" t="s">
        <v>672</v>
      </c>
      <c r="C139" t="s">
        <v>141</v>
      </c>
      <c r="D139" s="283">
        <v>145.16999999999999</v>
      </c>
      <c r="E139" s="283">
        <v>0</v>
      </c>
      <c r="G139" s="265">
        <v>0</v>
      </c>
      <c r="H139" s="265">
        <v>0</v>
      </c>
      <c r="I139" s="265">
        <v>0</v>
      </c>
      <c r="J139" s="265">
        <v>0</v>
      </c>
      <c r="K139" s="265">
        <v>0</v>
      </c>
      <c r="L139" s="265">
        <v>0</v>
      </c>
      <c r="M139" s="265">
        <v>0</v>
      </c>
      <c r="N139" s="265">
        <v>0</v>
      </c>
      <c r="O139" s="265">
        <v>0</v>
      </c>
      <c r="P139" s="265">
        <v>0</v>
      </c>
      <c r="Q139" s="265">
        <v>0</v>
      </c>
      <c r="R139" s="265">
        <v>0</v>
      </c>
      <c r="S139" s="265">
        <f>SUM(G139:R139)</f>
        <v>0</v>
      </c>
      <c r="T139" s="265">
        <v>0</v>
      </c>
      <c r="U139" s="265">
        <f>T139-S139</f>
        <v>0</v>
      </c>
      <c r="V139" s="262">
        <v>0</v>
      </c>
    </row>
    <row r="140" spans="1:23" ht="15.75" thickBot="1" x14ac:dyDescent="0.3">
      <c r="B140" s="292"/>
      <c r="D140" s="363">
        <v>13489.36</v>
      </c>
      <c r="E140" s="363">
        <v>0</v>
      </c>
      <c r="F140" s="350"/>
      <c r="G140" s="273">
        <f t="shared" ref="G140:R140" si="38">SUM(G137:G139)</f>
        <v>0</v>
      </c>
      <c r="H140" s="273">
        <f t="shared" si="38"/>
        <v>0</v>
      </c>
      <c r="I140" s="273">
        <f t="shared" si="38"/>
        <v>0</v>
      </c>
      <c r="J140" s="273">
        <f t="shared" si="38"/>
        <v>0</v>
      </c>
      <c r="K140" s="273">
        <f t="shared" si="38"/>
        <v>0</v>
      </c>
      <c r="L140" s="273">
        <f t="shared" si="38"/>
        <v>0</v>
      </c>
      <c r="M140" s="273">
        <f t="shared" si="38"/>
        <v>0</v>
      </c>
      <c r="N140" s="273">
        <f t="shared" si="38"/>
        <v>0</v>
      </c>
      <c r="O140" s="273">
        <f t="shared" si="38"/>
        <v>0</v>
      </c>
      <c r="P140" s="273">
        <f t="shared" si="38"/>
        <v>0</v>
      </c>
      <c r="Q140" s="273">
        <f t="shared" si="38"/>
        <v>0</v>
      </c>
      <c r="R140" s="273">
        <f t="shared" si="38"/>
        <v>0</v>
      </c>
      <c r="S140" s="273">
        <f>SUM(S137:S139)</f>
        <v>0</v>
      </c>
      <c r="T140" s="273">
        <f>SUM(T137:T139)</f>
        <v>0</v>
      </c>
      <c r="U140" s="273">
        <f>SUM(U137:U139)</f>
        <v>0</v>
      </c>
      <c r="V140" s="272">
        <v>0</v>
      </c>
    </row>
    <row r="141" spans="1:23" ht="15.75" thickTop="1" x14ac:dyDescent="0.25">
      <c r="A141" t="s">
        <v>132</v>
      </c>
      <c r="B141" s="292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W141" s="263"/>
    </row>
    <row r="142" spans="1:23" x14ac:dyDescent="0.25">
      <c r="A142" t="s">
        <v>55</v>
      </c>
      <c r="B142" s="291" t="s">
        <v>671</v>
      </c>
      <c r="C142" t="s">
        <v>262</v>
      </c>
      <c r="D142" s="283">
        <v>3815.04</v>
      </c>
      <c r="E142" s="283">
        <v>8500</v>
      </c>
      <c r="G142" s="265">
        <v>0</v>
      </c>
      <c r="H142" s="265">
        <v>650</v>
      </c>
      <c r="I142" s="265">
        <v>0</v>
      </c>
      <c r="J142" s="265">
        <v>500</v>
      </c>
      <c r="K142" s="265">
        <v>1000</v>
      </c>
      <c r="L142" s="265">
        <v>730</v>
      </c>
      <c r="M142" s="265">
        <v>0</v>
      </c>
      <c r="N142" s="265">
        <v>0</v>
      </c>
      <c r="O142" s="265">
        <v>0</v>
      </c>
      <c r="P142" s="265">
        <v>0</v>
      </c>
      <c r="Q142" s="265">
        <v>0</v>
      </c>
      <c r="R142" s="265">
        <v>0</v>
      </c>
      <c r="S142" s="265">
        <f>SUM(G142:R142)</f>
        <v>2880</v>
      </c>
      <c r="T142" s="265">
        <v>0</v>
      </c>
      <c r="U142" s="265">
        <f>T142-S142</f>
        <v>-2880</v>
      </c>
      <c r="V142" s="262">
        <v>0</v>
      </c>
      <c r="W142" s="263"/>
    </row>
    <row r="143" spans="1:23" ht="15.75" thickBot="1" x14ac:dyDescent="0.3">
      <c r="B143" s="292"/>
      <c r="D143" s="363">
        <v>3815.04</v>
      </c>
      <c r="E143" s="363">
        <v>8500</v>
      </c>
      <c r="F143" s="350"/>
      <c r="G143" s="273">
        <f t="shared" ref="G143:R143" si="39">SUM(G142:G142)</f>
        <v>0</v>
      </c>
      <c r="H143" s="273">
        <f t="shared" si="39"/>
        <v>650</v>
      </c>
      <c r="I143" s="273">
        <f t="shared" si="39"/>
        <v>0</v>
      </c>
      <c r="J143" s="273">
        <f t="shared" si="39"/>
        <v>500</v>
      </c>
      <c r="K143" s="273">
        <f t="shared" si="39"/>
        <v>1000</v>
      </c>
      <c r="L143" s="273">
        <f t="shared" si="39"/>
        <v>730</v>
      </c>
      <c r="M143" s="273">
        <f t="shared" si="39"/>
        <v>0</v>
      </c>
      <c r="N143" s="273">
        <f t="shared" si="39"/>
        <v>0</v>
      </c>
      <c r="O143" s="273">
        <f t="shared" si="39"/>
        <v>0</v>
      </c>
      <c r="P143" s="273">
        <f t="shared" si="39"/>
        <v>0</v>
      </c>
      <c r="Q143" s="273">
        <f t="shared" si="39"/>
        <v>0</v>
      </c>
      <c r="R143" s="273">
        <f t="shared" si="39"/>
        <v>0</v>
      </c>
      <c r="S143" s="273">
        <f>SUM(S142:S142)</f>
        <v>2880</v>
      </c>
      <c r="T143" s="273">
        <f>SUM(T142:T142)</f>
        <v>0</v>
      </c>
      <c r="U143" s="273">
        <f>SUM(U142:U142)</f>
        <v>-2880</v>
      </c>
      <c r="V143" s="272">
        <v>0</v>
      </c>
    </row>
    <row r="144" spans="1:23" ht="15.75" thickTop="1" x14ac:dyDescent="0.25">
      <c r="B144" s="292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4"/>
    </row>
    <row r="145" spans="1:23" s="295" customFormat="1" ht="17.25" x14ac:dyDescent="0.3">
      <c r="B145" s="298"/>
      <c r="C145" s="271" t="s">
        <v>670</v>
      </c>
      <c r="D145" s="365">
        <v>942033.45</v>
      </c>
      <c r="E145" s="297">
        <f t="shared" ref="E145:R145" si="40">E143+E140+E135+E130+E122+E107</f>
        <v>682724.25</v>
      </c>
      <c r="F145" s="353"/>
      <c r="G145" s="297">
        <f t="shared" si="40"/>
        <v>56462.93</v>
      </c>
      <c r="H145" s="297">
        <f>H143+H140+H135+H130+H122+H107</f>
        <v>45412.258074989433</v>
      </c>
      <c r="I145" s="297">
        <f t="shared" si="40"/>
        <v>26848.69</v>
      </c>
      <c r="J145" s="297">
        <f t="shared" si="40"/>
        <v>125177.61904613761</v>
      </c>
      <c r="K145" s="297">
        <f>K143+K140+K135+K130+K122+K107</f>
        <v>59742.97</v>
      </c>
      <c r="L145" s="297">
        <f t="shared" si="40"/>
        <v>50405.21</v>
      </c>
      <c r="M145" s="297">
        <f t="shared" si="40"/>
        <v>0</v>
      </c>
      <c r="N145" s="297">
        <f t="shared" si="40"/>
        <v>0</v>
      </c>
      <c r="O145" s="297">
        <f t="shared" si="40"/>
        <v>0</v>
      </c>
      <c r="P145" s="297">
        <f t="shared" si="40"/>
        <v>0</v>
      </c>
      <c r="Q145" s="297">
        <f t="shared" si="40"/>
        <v>0</v>
      </c>
      <c r="R145" s="297">
        <f t="shared" si="40"/>
        <v>0</v>
      </c>
      <c r="S145" s="297">
        <f>S143+S140+S135+S130+S122+S107</f>
        <v>364049.67712112708</v>
      </c>
      <c r="T145" s="297">
        <f>T143+T140+T135+T130+T122+T107</f>
        <v>737480.61</v>
      </c>
      <c r="U145" s="297">
        <f>U143+U140+U135+U130+U122+U107</f>
        <v>373430.93287887296</v>
      </c>
      <c r="V145" s="296">
        <f>S145/T145</f>
        <v>0.493639659381861</v>
      </c>
    </row>
    <row r="146" spans="1:23" s="295" customFormat="1" ht="17.25" x14ac:dyDescent="0.3">
      <c r="B146" s="298"/>
      <c r="C146" s="271"/>
      <c r="D146" s="366"/>
      <c r="E146" s="366"/>
      <c r="F146" s="354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6"/>
    </row>
    <row r="147" spans="1:23" ht="15.75" thickBot="1" x14ac:dyDescent="0.3">
      <c r="B147" s="292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</row>
    <row r="148" spans="1:23" ht="15.75" thickBot="1" x14ac:dyDescent="0.3">
      <c r="A148" s="13" t="s">
        <v>666</v>
      </c>
      <c r="B148" s="292"/>
      <c r="G148" s="387" t="s">
        <v>253</v>
      </c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9"/>
      <c r="T148" s="265"/>
      <c r="U148" s="280" t="s">
        <v>252</v>
      </c>
    </row>
    <row r="149" spans="1:23" x14ac:dyDescent="0.25">
      <c r="A149" t="s">
        <v>251</v>
      </c>
      <c r="B149" s="292"/>
      <c r="D149" s="361" t="s">
        <v>954</v>
      </c>
      <c r="E149" s="373" t="s">
        <v>956</v>
      </c>
      <c r="G149" s="279" t="s">
        <v>868</v>
      </c>
      <c r="H149" s="279" t="s">
        <v>869</v>
      </c>
      <c r="I149" s="279" t="s">
        <v>870</v>
      </c>
      <c r="J149" s="279" t="s">
        <v>871</v>
      </c>
      <c r="K149" s="279" t="s">
        <v>872</v>
      </c>
      <c r="L149" s="279" t="s">
        <v>873</v>
      </c>
      <c r="M149" s="279" t="s">
        <v>874</v>
      </c>
      <c r="N149" s="279" t="s">
        <v>875</v>
      </c>
      <c r="O149" s="279" t="s">
        <v>876</v>
      </c>
      <c r="P149" s="279" t="s">
        <v>877</v>
      </c>
      <c r="Q149" s="279" t="s">
        <v>878</v>
      </c>
      <c r="R149" s="279" t="s">
        <v>879</v>
      </c>
      <c r="S149" s="310" t="s">
        <v>250</v>
      </c>
      <c r="T149" s="309" t="s">
        <v>880</v>
      </c>
      <c r="U149" s="277" t="s">
        <v>249</v>
      </c>
      <c r="V149" s="276" t="s">
        <v>248</v>
      </c>
      <c r="W149" s="263"/>
    </row>
    <row r="150" spans="1:23" x14ac:dyDescent="0.25">
      <c r="A150" t="s">
        <v>55</v>
      </c>
      <c r="B150" s="291" t="s">
        <v>669</v>
      </c>
      <c r="C150" t="s">
        <v>668</v>
      </c>
      <c r="D150" s="283">
        <v>11450</v>
      </c>
      <c r="E150" s="283">
        <v>15600</v>
      </c>
      <c r="G150" s="265">
        <v>1200</v>
      </c>
      <c r="H150" s="265">
        <v>1200</v>
      </c>
      <c r="I150" s="265">
        <v>1200</v>
      </c>
      <c r="J150" s="265">
        <v>1080</v>
      </c>
      <c r="K150" s="265">
        <f>600+525</f>
        <v>1125</v>
      </c>
      <c r="L150" s="265">
        <v>840</v>
      </c>
      <c r="M150" s="265">
        <v>0</v>
      </c>
      <c r="N150" s="265">
        <v>0</v>
      </c>
      <c r="O150" s="265">
        <v>0</v>
      </c>
      <c r="P150" s="265">
        <v>0</v>
      </c>
      <c r="Q150" s="265">
        <v>0</v>
      </c>
      <c r="R150" s="265">
        <v>0</v>
      </c>
      <c r="S150" s="265">
        <f>SUM(G150:R150)</f>
        <v>6645</v>
      </c>
      <c r="T150" s="265">
        <v>15600</v>
      </c>
      <c r="U150" s="265">
        <f>T150-S150</f>
        <v>8955</v>
      </c>
      <c r="V150" s="262">
        <f>S150/T150</f>
        <v>0.42596153846153845</v>
      </c>
      <c r="W150" s="263"/>
    </row>
    <row r="151" spans="1:23" x14ac:dyDescent="0.25">
      <c r="A151" t="s">
        <v>55</v>
      </c>
      <c r="B151" s="291" t="s">
        <v>667</v>
      </c>
      <c r="C151" t="s">
        <v>666</v>
      </c>
      <c r="D151" s="283">
        <v>12000</v>
      </c>
      <c r="E151" s="283">
        <v>12000</v>
      </c>
      <c r="G151" s="265">
        <v>1000</v>
      </c>
      <c r="H151" s="265">
        <v>1000</v>
      </c>
      <c r="I151" s="265">
        <v>1000</v>
      </c>
      <c r="J151" s="265">
        <v>1000</v>
      </c>
      <c r="K151" s="265">
        <v>1000</v>
      </c>
      <c r="L151" s="265">
        <v>1000</v>
      </c>
      <c r="M151" s="265">
        <v>0</v>
      </c>
      <c r="N151" s="265">
        <v>0</v>
      </c>
      <c r="O151" s="265">
        <v>0</v>
      </c>
      <c r="P151" s="265">
        <v>0</v>
      </c>
      <c r="Q151" s="265">
        <v>0</v>
      </c>
      <c r="R151" s="265">
        <v>0</v>
      </c>
      <c r="S151" s="265">
        <f>SUM(G151:R151)</f>
        <v>6000</v>
      </c>
      <c r="T151" s="265">
        <v>12000</v>
      </c>
      <c r="U151" s="265">
        <f>T151-S151</f>
        <v>6000</v>
      </c>
      <c r="V151" s="262">
        <f>S151/T151</f>
        <v>0.5</v>
      </c>
      <c r="W151" s="263"/>
    </row>
    <row r="152" spans="1:23" ht="15.75" thickBot="1" x14ac:dyDescent="0.3">
      <c r="B152" s="292"/>
      <c r="D152" s="363">
        <v>23450</v>
      </c>
      <c r="E152" s="363">
        <v>27600</v>
      </c>
      <c r="F152" s="350"/>
      <c r="G152" s="273">
        <f t="shared" ref="G152:R152" si="41">SUM(G150:G151)</f>
        <v>2200</v>
      </c>
      <c r="H152" s="273">
        <f t="shared" si="41"/>
        <v>2200</v>
      </c>
      <c r="I152" s="273">
        <f t="shared" si="41"/>
        <v>2200</v>
      </c>
      <c r="J152" s="273">
        <f t="shared" si="41"/>
        <v>2080</v>
      </c>
      <c r="K152" s="273">
        <f t="shared" si="41"/>
        <v>2125</v>
      </c>
      <c r="L152" s="273">
        <f t="shared" si="41"/>
        <v>1840</v>
      </c>
      <c r="M152" s="273">
        <f t="shared" si="41"/>
        <v>0</v>
      </c>
      <c r="N152" s="273">
        <f t="shared" si="41"/>
        <v>0</v>
      </c>
      <c r="O152" s="273">
        <f t="shared" si="41"/>
        <v>0</v>
      </c>
      <c r="P152" s="273">
        <f t="shared" si="41"/>
        <v>0</v>
      </c>
      <c r="Q152" s="273">
        <f t="shared" si="41"/>
        <v>0</v>
      </c>
      <c r="R152" s="273">
        <f t="shared" si="41"/>
        <v>0</v>
      </c>
      <c r="S152" s="273">
        <f>SUM(S150:S151)</f>
        <v>12645</v>
      </c>
      <c r="T152" s="273">
        <f>SUM(T150:T151)</f>
        <v>27600</v>
      </c>
      <c r="U152" s="273">
        <f>SUM(U150:U151)</f>
        <v>14955</v>
      </c>
      <c r="V152" s="272">
        <f>S152/T152</f>
        <v>0.45815217391304347</v>
      </c>
    </row>
    <row r="153" spans="1:23" ht="15.75" thickTop="1" x14ac:dyDescent="0.25">
      <c r="A153" t="s">
        <v>231</v>
      </c>
      <c r="B153" s="292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W153" s="263"/>
    </row>
    <row r="154" spans="1:23" x14ac:dyDescent="0.25">
      <c r="A154" s="289"/>
      <c r="B154" s="291" t="s">
        <v>665</v>
      </c>
      <c r="C154" t="s">
        <v>227</v>
      </c>
      <c r="D154" s="283">
        <v>4192.5</v>
      </c>
      <c r="E154" s="283">
        <v>23320.31</v>
      </c>
      <c r="G154" s="265">
        <v>5406.25</v>
      </c>
      <c r="H154" s="265">
        <v>0</v>
      </c>
      <c r="I154" s="265">
        <v>0</v>
      </c>
      <c r="J154" s="265">
        <v>1803.75</v>
      </c>
      <c r="K154" s="265">
        <v>3860.25</v>
      </c>
      <c r="L154" s="265">
        <v>0</v>
      </c>
      <c r="M154" s="265">
        <v>0</v>
      </c>
      <c r="N154" s="265">
        <v>0</v>
      </c>
      <c r="O154" s="265">
        <v>0</v>
      </c>
      <c r="P154" s="265">
        <v>0</v>
      </c>
      <c r="Q154" s="265">
        <v>0</v>
      </c>
      <c r="R154" s="265">
        <v>0</v>
      </c>
      <c r="S154" s="265">
        <f t="shared" ref="S154:S164" si="42">SUM(G154:R154)</f>
        <v>11070.25</v>
      </c>
      <c r="T154" s="265">
        <v>0</v>
      </c>
      <c r="U154" s="265">
        <f t="shared" ref="U154:U164" si="43">T154-S154</f>
        <v>-11070.25</v>
      </c>
      <c r="V154" s="262">
        <v>0</v>
      </c>
      <c r="W154" s="263"/>
    </row>
    <row r="155" spans="1:23" x14ac:dyDescent="0.25">
      <c r="A155" s="289"/>
      <c r="B155" s="291" t="s">
        <v>664</v>
      </c>
      <c r="C155" t="s">
        <v>225</v>
      </c>
      <c r="D155" s="283">
        <v>1086.53</v>
      </c>
      <c r="E155" s="283">
        <v>220</v>
      </c>
      <c r="G155" s="265">
        <f>179.47-H155</f>
        <v>86.72</v>
      </c>
      <c r="H155" s="265">
        <v>92.75</v>
      </c>
      <c r="I155" s="265">
        <v>92.66</v>
      </c>
      <c r="J155" s="265">
        <v>84.59</v>
      </c>
      <c r="K155" s="265">
        <v>186.65</v>
      </c>
      <c r="L155" s="265">
        <v>73.540000000000006</v>
      </c>
      <c r="M155" s="265">
        <v>0</v>
      </c>
      <c r="N155" s="265">
        <v>0</v>
      </c>
      <c r="O155" s="265">
        <v>0</v>
      </c>
      <c r="P155" s="265">
        <v>0</v>
      </c>
      <c r="Q155" s="265">
        <v>0</v>
      </c>
      <c r="R155" s="265">
        <v>0</v>
      </c>
      <c r="S155" s="265">
        <f t="shared" si="42"/>
        <v>616.91</v>
      </c>
      <c r="T155" s="265">
        <v>1100</v>
      </c>
      <c r="U155" s="265">
        <f t="shared" si="43"/>
        <v>483.09000000000003</v>
      </c>
      <c r="V155" s="262">
        <f>S155/T155</f>
        <v>0.56082727272727273</v>
      </c>
      <c r="W155" s="263"/>
    </row>
    <row r="156" spans="1:23" x14ac:dyDescent="0.25">
      <c r="A156" s="289"/>
      <c r="B156" s="291" t="s">
        <v>663</v>
      </c>
      <c r="C156" t="s">
        <v>604</v>
      </c>
      <c r="D156" s="283">
        <v>14201.24</v>
      </c>
      <c r="E156" s="283">
        <v>6939.65</v>
      </c>
      <c r="G156" s="265">
        <v>0</v>
      </c>
      <c r="H156" s="265">
        <v>0</v>
      </c>
      <c r="I156" s="265">
        <v>12.15</v>
      </c>
      <c r="J156" s="265">
        <v>8135.6352293963891</v>
      </c>
      <c r="K156" s="265">
        <v>0</v>
      </c>
      <c r="L156" s="265">
        <v>0</v>
      </c>
      <c r="M156" s="265">
        <v>0</v>
      </c>
      <c r="N156" s="265">
        <v>0</v>
      </c>
      <c r="O156" s="265">
        <v>0</v>
      </c>
      <c r="P156" s="265">
        <v>0</v>
      </c>
      <c r="Q156" s="265">
        <v>0</v>
      </c>
      <c r="R156" s="265">
        <v>0</v>
      </c>
      <c r="S156" s="265">
        <f t="shared" si="42"/>
        <v>8147.7852293963888</v>
      </c>
      <c r="T156" s="265">
        <v>12200</v>
      </c>
      <c r="U156" s="265">
        <f t="shared" si="43"/>
        <v>4052.2147706036112</v>
      </c>
      <c r="V156" s="262">
        <f>S156/T156</f>
        <v>0.66785124831117937</v>
      </c>
      <c r="W156" s="263"/>
    </row>
    <row r="157" spans="1:23" x14ac:dyDescent="0.25">
      <c r="A157" s="289"/>
      <c r="B157" s="291" t="s">
        <v>662</v>
      </c>
      <c r="C157" t="s">
        <v>661</v>
      </c>
      <c r="D157" s="283">
        <v>1284.76</v>
      </c>
      <c r="E157" s="283">
        <v>1013.37</v>
      </c>
      <c r="G157" s="265">
        <v>0</v>
      </c>
      <c r="H157" s="265">
        <v>0</v>
      </c>
      <c r="I157" s="265">
        <v>0</v>
      </c>
      <c r="J157" s="265">
        <v>346.28375400170506</v>
      </c>
      <c r="K157" s="265">
        <v>0</v>
      </c>
      <c r="L157" s="265">
        <v>0</v>
      </c>
      <c r="M157" s="265">
        <v>0</v>
      </c>
      <c r="N157" s="265">
        <v>0</v>
      </c>
      <c r="O157" s="265">
        <v>0</v>
      </c>
      <c r="P157" s="265">
        <v>0</v>
      </c>
      <c r="Q157" s="265">
        <v>0</v>
      </c>
      <c r="R157" s="265">
        <v>0</v>
      </c>
      <c r="S157" s="265">
        <f t="shared" si="42"/>
        <v>346.28375400170506</v>
      </c>
      <c r="T157" s="265">
        <v>930</v>
      </c>
      <c r="U157" s="265">
        <f t="shared" si="43"/>
        <v>583.71624599829488</v>
      </c>
      <c r="V157" s="262">
        <f>S157/T157</f>
        <v>0.37234812258247857</v>
      </c>
      <c r="W157" s="263"/>
    </row>
    <row r="158" spans="1:23" x14ac:dyDescent="0.25">
      <c r="A158" s="289"/>
      <c r="B158" s="291" t="s">
        <v>660</v>
      </c>
      <c r="C158" t="s">
        <v>659</v>
      </c>
      <c r="D158" s="283">
        <v>104</v>
      </c>
      <c r="E158" s="283">
        <v>0</v>
      </c>
      <c r="G158" s="265">
        <v>0</v>
      </c>
      <c r="H158" s="265">
        <v>0</v>
      </c>
      <c r="I158" s="265">
        <v>0</v>
      </c>
      <c r="J158" s="265">
        <v>0</v>
      </c>
      <c r="K158" s="265">
        <v>0</v>
      </c>
      <c r="L158" s="265">
        <v>0</v>
      </c>
      <c r="M158" s="265">
        <v>0</v>
      </c>
      <c r="N158" s="265">
        <v>0</v>
      </c>
      <c r="O158" s="265">
        <v>0</v>
      </c>
      <c r="P158" s="265">
        <v>0</v>
      </c>
      <c r="Q158" s="265">
        <v>0</v>
      </c>
      <c r="R158" s="265">
        <v>0</v>
      </c>
      <c r="S158" s="265">
        <f t="shared" si="42"/>
        <v>0</v>
      </c>
      <c r="T158" s="265">
        <v>0</v>
      </c>
      <c r="U158" s="265">
        <f t="shared" si="43"/>
        <v>0</v>
      </c>
      <c r="V158" s="262">
        <v>0</v>
      </c>
      <c r="W158" s="263"/>
    </row>
    <row r="159" spans="1:23" x14ac:dyDescent="0.25">
      <c r="A159" s="289"/>
      <c r="B159" s="291" t="s">
        <v>658</v>
      </c>
      <c r="C159" t="s">
        <v>657</v>
      </c>
      <c r="D159" s="283">
        <v>375</v>
      </c>
      <c r="E159" s="283">
        <v>2500</v>
      </c>
      <c r="G159" s="265">
        <v>0</v>
      </c>
      <c r="H159" s="265">
        <v>85</v>
      </c>
      <c r="I159" s="265">
        <v>632.99</v>
      </c>
      <c r="J159" s="265">
        <v>340</v>
      </c>
      <c r="K159" s="265">
        <v>615.17999999999995</v>
      </c>
      <c r="L159" s="265">
        <v>50</v>
      </c>
      <c r="M159" s="265">
        <v>0</v>
      </c>
      <c r="N159" s="265">
        <v>0</v>
      </c>
      <c r="O159" s="265">
        <v>0</v>
      </c>
      <c r="P159" s="265">
        <v>0</v>
      </c>
      <c r="Q159" s="265">
        <v>0</v>
      </c>
      <c r="R159" s="265">
        <v>0</v>
      </c>
      <c r="S159" s="265">
        <f t="shared" si="42"/>
        <v>1723.17</v>
      </c>
      <c r="T159" s="265">
        <v>2500</v>
      </c>
      <c r="U159" s="265">
        <f t="shared" si="43"/>
        <v>776.82999999999993</v>
      </c>
      <c r="V159" s="262">
        <f>S159/T159</f>
        <v>0.68926799999999999</v>
      </c>
      <c r="W159" s="263"/>
    </row>
    <row r="160" spans="1:23" x14ac:dyDescent="0.25">
      <c r="A160" s="289"/>
      <c r="B160" s="291" t="s">
        <v>946</v>
      </c>
      <c r="C160" t="s">
        <v>316</v>
      </c>
      <c r="D160" s="283">
        <v>0</v>
      </c>
      <c r="E160" s="283">
        <v>0</v>
      </c>
      <c r="G160" s="265">
        <v>0</v>
      </c>
      <c r="H160" s="265">
        <v>0</v>
      </c>
      <c r="I160" s="265">
        <v>0</v>
      </c>
      <c r="J160" s="265">
        <v>0</v>
      </c>
      <c r="K160" s="265">
        <v>0</v>
      </c>
      <c r="L160" s="265">
        <v>1288.53</v>
      </c>
      <c r="M160" s="265"/>
      <c r="N160" s="265"/>
      <c r="O160" s="265"/>
      <c r="P160" s="265"/>
      <c r="Q160" s="265"/>
      <c r="R160" s="265"/>
      <c r="S160" s="265">
        <f t="shared" si="42"/>
        <v>1288.53</v>
      </c>
      <c r="T160" s="265">
        <v>0</v>
      </c>
      <c r="U160" s="265">
        <f t="shared" ref="U160" si="44">T160-S160</f>
        <v>-1288.53</v>
      </c>
      <c r="V160" s="262">
        <v>0</v>
      </c>
      <c r="W160" s="263"/>
    </row>
    <row r="161" spans="1:23" x14ac:dyDescent="0.25">
      <c r="A161" s="289"/>
      <c r="B161" s="291" t="s">
        <v>656</v>
      </c>
      <c r="C161" t="s">
        <v>595</v>
      </c>
      <c r="D161" s="283">
        <v>0</v>
      </c>
      <c r="E161" s="283">
        <v>3500</v>
      </c>
      <c r="G161" s="265">
        <v>0</v>
      </c>
      <c r="H161" s="265">
        <v>598.6</v>
      </c>
      <c r="I161" s="265">
        <v>0</v>
      </c>
      <c r="J161" s="265">
        <v>0</v>
      </c>
      <c r="K161" s="265">
        <v>0</v>
      </c>
      <c r="L161" s="265">
        <v>0</v>
      </c>
      <c r="M161" s="265">
        <v>0</v>
      </c>
      <c r="N161" s="265">
        <v>0</v>
      </c>
      <c r="O161" s="265">
        <v>0</v>
      </c>
      <c r="P161" s="265">
        <v>0</v>
      </c>
      <c r="Q161" s="265">
        <v>0</v>
      </c>
      <c r="R161" s="265">
        <v>0</v>
      </c>
      <c r="S161" s="265">
        <f t="shared" si="42"/>
        <v>598.6</v>
      </c>
      <c r="T161" s="265">
        <v>3500</v>
      </c>
      <c r="U161" s="265">
        <f t="shared" si="43"/>
        <v>2901.4</v>
      </c>
      <c r="V161" s="262">
        <f>S161/T161</f>
        <v>0.17102857142857145</v>
      </c>
      <c r="W161" s="263"/>
    </row>
    <row r="162" spans="1:23" x14ac:dyDescent="0.25">
      <c r="A162" s="289"/>
      <c r="B162" s="291" t="s">
        <v>655</v>
      </c>
      <c r="C162" t="s">
        <v>190</v>
      </c>
      <c r="D162" s="283">
        <v>505.13</v>
      </c>
      <c r="E162" s="283">
        <v>775</v>
      </c>
      <c r="G162" s="265">
        <v>0</v>
      </c>
      <c r="H162" s="265">
        <v>0</v>
      </c>
      <c r="I162" s="265">
        <v>0</v>
      </c>
      <c r="J162" s="265">
        <v>0</v>
      </c>
      <c r="K162" s="265">
        <v>0</v>
      </c>
      <c r="L162" s="265">
        <v>0</v>
      </c>
      <c r="M162" s="265">
        <v>0</v>
      </c>
      <c r="N162" s="265">
        <v>0</v>
      </c>
      <c r="O162" s="265">
        <v>0</v>
      </c>
      <c r="P162" s="265">
        <v>0</v>
      </c>
      <c r="Q162" s="265">
        <v>0</v>
      </c>
      <c r="R162" s="265">
        <v>0</v>
      </c>
      <c r="S162" s="265">
        <f t="shared" si="42"/>
        <v>0</v>
      </c>
      <c r="T162" s="265">
        <v>775</v>
      </c>
      <c r="U162" s="265">
        <f t="shared" si="43"/>
        <v>775</v>
      </c>
      <c r="V162" s="262">
        <f>S162/T162</f>
        <v>0</v>
      </c>
      <c r="W162" s="263"/>
    </row>
    <row r="163" spans="1:23" x14ac:dyDescent="0.25">
      <c r="A163" t="s">
        <v>55</v>
      </c>
      <c r="B163" s="292" t="s">
        <v>925</v>
      </c>
      <c r="C163" t="s">
        <v>654</v>
      </c>
      <c r="D163" s="283">
        <v>31.08</v>
      </c>
      <c r="E163" s="283">
        <v>384.6</v>
      </c>
      <c r="G163" s="265">
        <v>0</v>
      </c>
      <c r="H163" s="265">
        <v>0</v>
      </c>
      <c r="I163" s="265">
        <v>0</v>
      </c>
      <c r="J163" s="265">
        <v>0</v>
      </c>
      <c r="K163" s="265">
        <v>0</v>
      </c>
      <c r="L163" s="265">
        <v>0</v>
      </c>
      <c r="M163" s="265">
        <v>0</v>
      </c>
      <c r="N163" s="265">
        <v>0</v>
      </c>
      <c r="O163" s="265">
        <v>0</v>
      </c>
      <c r="P163" s="265">
        <v>0</v>
      </c>
      <c r="Q163" s="265">
        <v>0</v>
      </c>
      <c r="R163" s="265">
        <v>0</v>
      </c>
      <c r="S163" s="265">
        <f t="shared" si="42"/>
        <v>0</v>
      </c>
      <c r="T163" s="265">
        <v>0</v>
      </c>
      <c r="U163" s="265">
        <f t="shared" si="43"/>
        <v>0</v>
      </c>
      <c r="V163" s="262">
        <v>0</v>
      </c>
      <c r="W163" s="263"/>
    </row>
    <row r="164" spans="1:23" x14ac:dyDescent="0.25">
      <c r="A164" s="289"/>
      <c r="B164" s="291" t="s">
        <v>653</v>
      </c>
      <c r="C164" t="s">
        <v>652</v>
      </c>
      <c r="D164" s="283">
        <v>500</v>
      </c>
      <c r="E164" s="283">
        <v>2500</v>
      </c>
      <c r="G164" s="265">
        <v>0</v>
      </c>
      <c r="H164" s="265">
        <v>0</v>
      </c>
      <c r="I164" s="265">
        <v>0</v>
      </c>
      <c r="J164" s="265">
        <v>0</v>
      </c>
      <c r="K164" s="265">
        <v>5145</v>
      </c>
      <c r="L164" s="265">
        <v>0</v>
      </c>
      <c r="M164" s="265">
        <v>0</v>
      </c>
      <c r="N164" s="265">
        <v>0</v>
      </c>
      <c r="O164" s="265">
        <v>0</v>
      </c>
      <c r="P164" s="265">
        <v>0</v>
      </c>
      <c r="Q164" s="265">
        <v>0</v>
      </c>
      <c r="R164" s="265">
        <v>0</v>
      </c>
      <c r="S164" s="265">
        <f t="shared" si="42"/>
        <v>5145</v>
      </c>
      <c r="T164" s="265">
        <v>1500</v>
      </c>
      <c r="U164" s="265">
        <f t="shared" si="43"/>
        <v>-3645</v>
      </c>
      <c r="V164" s="262">
        <f>S164/T164</f>
        <v>3.43</v>
      </c>
      <c r="W164" s="263"/>
    </row>
    <row r="165" spans="1:23" ht="15.75" thickBot="1" x14ac:dyDescent="0.3">
      <c r="B165" s="292"/>
      <c r="D165" s="363">
        <v>22280.240000000002</v>
      </c>
      <c r="E165" s="273">
        <f t="shared" ref="E165:P165" si="45">SUM(E154:E164)</f>
        <v>41152.93</v>
      </c>
      <c r="F165" s="350"/>
      <c r="G165" s="273">
        <f t="shared" si="45"/>
        <v>5492.97</v>
      </c>
      <c r="H165" s="273">
        <f t="shared" si="45"/>
        <v>776.35</v>
      </c>
      <c r="I165" s="273">
        <f t="shared" si="45"/>
        <v>737.8</v>
      </c>
      <c r="J165" s="273">
        <f t="shared" si="45"/>
        <v>10710.258983398093</v>
      </c>
      <c r="K165" s="273">
        <f t="shared" si="45"/>
        <v>9807.08</v>
      </c>
      <c r="L165" s="273">
        <f t="shared" si="45"/>
        <v>1412.07</v>
      </c>
      <c r="M165" s="273">
        <f t="shared" si="45"/>
        <v>0</v>
      </c>
      <c r="N165" s="273">
        <f t="shared" si="45"/>
        <v>0</v>
      </c>
      <c r="O165" s="273">
        <f t="shared" si="45"/>
        <v>0</v>
      </c>
      <c r="P165" s="273">
        <f t="shared" si="45"/>
        <v>0</v>
      </c>
      <c r="Q165" s="273">
        <f t="shared" ref="Q165" si="46">SUM(Q154:Q164)</f>
        <v>0</v>
      </c>
      <c r="R165" s="273">
        <f t="shared" ref="R165" si="47">SUM(R154:R164)</f>
        <v>0</v>
      </c>
      <c r="S165" s="273">
        <f>SUM(S154:S164)</f>
        <v>28936.528983398093</v>
      </c>
      <c r="T165" s="273">
        <f>SUM(T154:T164)</f>
        <v>22505</v>
      </c>
      <c r="U165" s="273">
        <f>SUM(U154:U164)</f>
        <v>-6431.5289833980933</v>
      </c>
      <c r="V165" s="272">
        <f>S165/T165</f>
        <v>1.2857822254342632</v>
      </c>
    </row>
    <row r="166" spans="1:23" ht="15.75" thickTop="1" x14ac:dyDescent="0.25">
      <c r="A166" t="s">
        <v>174</v>
      </c>
      <c r="B166" s="292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W166" s="263"/>
    </row>
    <row r="167" spans="1:23" ht="15.75" thickBot="1" x14ac:dyDescent="0.3">
      <c r="A167" s="289"/>
      <c r="B167" s="291" t="s">
        <v>651</v>
      </c>
      <c r="C167" t="s">
        <v>587</v>
      </c>
      <c r="D167" s="283">
        <v>2432.4699999999998</v>
      </c>
      <c r="E167" s="283">
        <v>600</v>
      </c>
      <c r="G167" s="273">
        <v>0</v>
      </c>
      <c r="H167" s="273">
        <v>89.05</v>
      </c>
      <c r="I167" s="273">
        <v>20.53</v>
      </c>
      <c r="J167" s="273">
        <v>0</v>
      </c>
      <c r="K167" s="273">
        <v>111.04</v>
      </c>
      <c r="L167" s="273">
        <v>162</v>
      </c>
      <c r="M167" s="273">
        <v>0</v>
      </c>
      <c r="N167" s="273">
        <v>0</v>
      </c>
      <c r="O167" s="273">
        <v>0</v>
      </c>
      <c r="P167" s="273">
        <v>0</v>
      </c>
      <c r="Q167" s="273">
        <v>0</v>
      </c>
      <c r="R167" s="273">
        <v>0</v>
      </c>
      <c r="S167" s="273">
        <f>SUM(G167:R167)</f>
        <v>382.62</v>
      </c>
      <c r="T167" s="273">
        <v>100</v>
      </c>
      <c r="U167" s="273">
        <f>T167-S167</f>
        <v>-282.62</v>
      </c>
      <c r="V167" s="272">
        <f>S167/T167</f>
        <v>3.8262</v>
      </c>
    </row>
    <row r="168" spans="1:23" ht="15.75" thickTop="1" x14ac:dyDescent="0.25">
      <c r="B168" s="292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</row>
    <row r="169" spans="1:23" ht="17.25" x14ac:dyDescent="0.3">
      <c r="B169" s="292"/>
      <c r="C169" s="271" t="s">
        <v>650</v>
      </c>
      <c r="D169" s="366">
        <v>48162.710000000006</v>
      </c>
      <c r="E169" s="270">
        <f t="shared" ref="E169:R169" si="48">E167+E165+E152</f>
        <v>69352.929999999993</v>
      </c>
      <c r="F169" s="355"/>
      <c r="G169" s="270">
        <f t="shared" si="48"/>
        <v>7692.97</v>
      </c>
      <c r="H169" s="270">
        <f t="shared" si="48"/>
        <v>3065.4</v>
      </c>
      <c r="I169" s="270">
        <f t="shared" si="48"/>
        <v>2958.33</v>
      </c>
      <c r="J169" s="270">
        <f t="shared" si="48"/>
        <v>12790.258983398093</v>
      </c>
      <c r="K169" s="270">
        <f t="shared" si="48"/>
        <v>12043.12</v>
      </c>
      <c r="L169" s="270">
        <f t="shared" si="48"/>
        <v>3414.0699999999997</v>
      </c>
      <c r="M169" s="270">
        <f t="shared" si="48"/>
        <v>0</v>
      </c>
      <c r="N169" s="270">
        <f t="shared" si="48"/>
        <v>0</v>
      </c>
      <c r="O169" s="270">
        <f t="shared" si="48"/>
        <v>0</v>
      </c>
      <c r="P169" s="270">
        <f t="shared" si="48"/>
        <v>0</v>
      </c>
      <c r="Q169" s="270">
        <f t="shared" si="48"/>
        <v>0</v>
      </c>
      <c r="R169" s="270">
        <f t="shared" si="48"/>
        <v>0</v>
      </c>
      <c r="S169" s="270">
        <f>S167+S165+S152</f>
        <v>41964.148983398089</v>
      </c>
      <c r="T169" s="270">
        <f>T167+T165+T152</f>
        <v>50205</v>
      </c>
      <c r="U169" s="270">
        <f>U167+U165+U152</f>
        <v>8240.8510166019078</v>
      </c>
      <c r="V169" s="269">
        <f>S169/T169</f>
        <v>0.83585597019018198</v>
      </c>
    </row>
    <row r="170" spans="1:23" ht="18" thickBot="1" x14ac:dyDescent="0.35">
      <c r="B170" s="292"/>
      <c r="C170" s="271"/>
      <c r="D170" s="366"/>
      <c r="E170" s="366"/>
      <c r="F170" s="354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69"/>
    </row>
    <row r="171" spans="1:23" ht="18" thickBot="1" x14ac:dyDescent="0.35">
      <c r="B171" s="292"/>
      <c r="C171" s="271"/>
      <c r="D171" s="366"/>
      <c r="E171" s="366"/>
      <c r="F171" s="354"/>
      <c r="G171" s="387" t="s">
        <v>253</v>
      </c>
      <c r="H171" s="388"/>
      <c r="I171" s="388"/>
      <c r="J171" s="388"/>
      <c r="K171" s="388"/>
      <c r="L171" s="388"/>
      <c r="M171" s="388"/>
      <c r="N171" s="388"/>
      <c r="O171" s="388"/>
      <c r="P171" s="388"/>
      <c r="Q171" s="388"/>
      <c r="R171" s="388"/>
      <c r="S171" s="389"/>
      <c r="T171" s="265"/>
      <c r="U171" s="280" t="s">
        <v>252</v>
      </c>
    </row>
    <row r="172" spans="1:23" x14ac:dyDescent="0.25">
      <c r="A172" s="13" t="s">
        <v>649</v>
      </c>
      <c r="B172" s="292"/>
      <c r="D172" s="361" t="s">
        <v>954</v>
      </c>
      <c r="E172" s="373" t="s">
        <v>956</v>
      </c>
      <c r="G172" s="279" t="s">
        <v>868</v>
      </c>
      <c r="H172" s="279" t="s">
        <v>869</v>
      </c>
      <c r="I172" s="279" t="s">
        <v>870</v>
      </c>
      <c r="J172" s="279" t="s">
        <v>871</v>
      </c>
      <c r="K172" s="279" t="s">
        <v>872</v>
      </c>
      <c r="L172" s="279" t="s">
        <v>873</v>
      </c>
      <c r="M172" s="279" t="s">
        <v>874</v>
      </c>
      <c r="N172" s="279" t="s">
        <v>875</v>
      </c>
      <c r="O172" s="279" t="s">
        <v>876</v>
      </c>
      <c r="P172" s="279" t="s">
        <v>877</v>
      </c>
      <c r="Q172" s="279" t="s">
        <v>878</v>
      </c>
      <c r="R172" s="279" t="s">
        <v>879</v>
      </c>
      <c r="S172" s="310" t="s">
        <v>250</v>
      </c>
      <c r="T172" s="309" t="s">
        <v>880</v>
      </c>
      <c r="U172" s="277" t="s">
        <v>249</v>
      </c>
      <c r="V172" s="276" t="s">
        <v>248</v>
      </c>
    </row>
    <row r="173" spans="1:23" x14ac:dyDescent="0.25">
      <c r="B173" s="292" t="s">
        <v>648</v>
      </c>
      <c r="C173" t="s">
        <v>647</v>
      </c>
      <c r="D173" s="283">
        <v>0</v>
      </c>
      <c r="E173" s="283">
        <v>0</v>
      </c>
      <c r="G173" s="265">
        <v>0</v>
      </c>
      <c r="H173" s="265">
        <v>0</v>
      </c>
      <c r="I173" s="265">
        <v>0</v>
      </c>
      <c r="J173" s="265">
        <v>0</v>
      </c>
      <c r="K173" s="265">
        <v>0</v>
      </c>
      <c r="L173" s="265">
        <v>0</v>
      </c>
      <c r="M173" s="265">
        <v>0</v>
      </c>
      <c r="N173" s="265">
        <v>0</v>
      </c>
      <c r="O173" s="265">
        <v>0</v>
      </c>
      <c r="P173" s="265">
        <v>0</v>
      </c>
      <c r="Q173" s="265">
        <v>0</v>
      </c>
      <c r="R173" s="265">
        <v>0</v>
      </c>
      <c r="S173" s="265">
        <f>SUM(G173:R173)</f>
        <v>0</v>
      </c>
      <c r="T173" s="265">
        <v>0</v>
      </c>
      <c r="U173" s="265">
        <f>T173-S173</f>
        <v>0</v>
      </c>
      <c r="V173" s="262">
        <v>0</v>
      </c>
      <c r="W173" s="263"/>
    </row>
    <row r="174" spans="1:23" x14ac:dyDescent="0.25">
      <c r="B174" s="292" t="s">
        <v>646</v>
      </c>
      <c r="C174" t="s">
        <v>645</v>
      </c>
      <c r="D174" s="283">
        <v>4041.25</v>
      </c>
      <c r="E174" s="283">
        <v>0</v>
      </c>
      <c r="G174" s="265">
        <v>0</v>
      </c>
      <c r="H174" s="265">
        <v>0</v>
      </c>
      <c r="I174" s="265">
        <v>0</v>
      </c>
      <c r="J174" s="265">
        <v>0</v>
      </c>
      <c r="K174" s="265">
        <v>0</v>
      </c>
      <c r="L174" s="265">
        <v>0</v>
      </c>
      <c r="M174" s="265">
        <v>0</v>
      </c>
      <c r="N174" s="265">
        <v>0</v>
      </c>
      <c r="O174" s="265">
        <v>0</v>
      </c>
      <c r="P174" s="265">
        <v>0</v>
      </c>
      <c r="Q174" s="265">
        <v>0</v>
      </c>
      <c r="R174" s="265">
        <v>0</v>
      </c>
      <c r="S174" s="265">
        <f>SUM(G174:R174)</f>
        <v>0</v>
      </c>
      <c r="T174" s="265">
        <v>0</v>
      </c>
      <c r="U174" s="265">
        <f>T174-S174</f>
        <v>0</v>
      </c>
      <c r="V174" s="262">
        <v>0</v>
      </c>
      <c r="W174" s="263"/>
    </row>
    <row r="175" spans="1:23" x14ac:dyDescent="0.25">
      <c r="B175" s="292" t="s">
        <v>644</v>
      </c>
      <c r="C175" t="s">
        <v>643</v>
      </c>
      <c r="D175" s="283">
        <v>1657.5</v>
      </c>
      <c r="E175" s="283">
        <v>0</v>
      </c>
      <c r="G175" s="265">
        <v>0</v>
      </c>
      <c r="H175" s="265">
        <v>0</v>
      </c>
      <c r="I175" s="265">
        <v>0</v>
      </c>
      <c r="J175" s="265">
        <v>0</v>
      </c>
      <c r="K175" s="265">
        <v>0</v>
      </c>
      <c r="L175" s="265">
        <v>0</v>
      </c>
      <c r="M175" s="265">
        <v>0</v>
      </c>
      <c r="N175" s="265">
        <v>0</v>
      </c>
      <c r="O175" s="265">
        <v>0</v>
      </c>
      <c r="P175" s="265">
        <v>0</v>
      </c>
      <c r="Q175" s="265">
        <v>0</v>
      </c>
      <c r="R175" s="265">
        <v>0</v>
      </c>
      <c r="S175" s="265">
        <f>SUM(G175:R175)</f>
        <v>0</v>
      </c>
      <c r="T175" s="265">
        <v>0</v>
      </c>
      <c r="U175" s="265">
        <f>T175-S175</f>
        <v>0</v>
      </c>
      <c r="V175" s="262">
        <v>0</v>
      </c>
      <c r="W175" s="263"/>
    </row>
    <row r="176" spans="1:23" x14ac:dyDescent="0.25">
      <c r="B176" s="292" t="s">
        <v>642</v>
      </c>
      <c r="C176" t="s">
        <v>641</v>
      </c>
      <c r="D176" s="283">
        <v>0</v>
      </c>
      <c r="E176" s="283">
        <v>0</v>
      </c>
      <c r="G176" s="265">
        <v>0</v>
      </c>
      <c r="H176" s="265">
        <v>0</v>
      </c>
      <c r="I176" s="265">
        <v>0</v>
      </c>
      <c r="J176" s="265">
        <v>0</v>
      </c>
      <c r="K176" s="265">
        <v>0</v>
      </c>
      <c r="L176" s="265">
        <v>0</v>
      </c>
      <c r="M176" s="265">
        <v>0</v>
      </c>
      <c r="N176" s="265">
        <v>0</v>
      </c>
      <c r="O176" s="265">
        <v>0</v>
      </c>
      <c r="P176" s="265">
        <v>0</v>
      </c>
      <c r="Q176" s="265">
        <v>0</v>
      </c>
      <c r="R176" s="265">
        <v>0</v>
      </c>
      <c r="S176" s="265">
        <f>SUM(G176:R176)</f>
        <v>0</v>
      </c>
      <c r="T176" s="265">
        <v>0</v>
      </c>
      <c r="U176" s="265">
        <f>T176-S176</f>
        <v>0</v>
      </c>
      <c r="V176" s="262">
        <v>0</v>
      </c>
      <c r="W176" s="263"/>
    </row>
    <row r="177" spans="1:23" ht="15.75" thickBot="1" x14ac:dyDescent="0.3">
      <c r="A177" s="289"/>
      <c r="B177" s="291"/>
      <c r="D177" s="367">
        <v>5698.75</v>
      </c>
      <c r="E177" s="294">
        <v>0</v>
      </c>
      <c r="F177" s="356"/>
      <c r="G177" s="294">
        <f t="shared" ref="G177:P177" si="49">SUM(G173:G176)</f>
        <v>0</v>
      </c>
      <c r="H177" s="294">
        <f t="shared" si="49"/>
        <v>0</v>
      </c>
      <c r="I177" s="294">
        <f t="shared" si="49"/>
        <v>0</v>
      </c>
      <c r="J177" s="294">
        <f t="shared" si="49"/>
        <v>0</v>
      </c>
      <c r="K177" s="294">
        <f t="shared" si="49"/>
        <v>0</v>
      </c>
      <c r="L177" s="294">
        <f t="shared" si="49"/>
        <v>0</v>
      </c>
      <c r="M177" s="294">
        <f t="shared" si="49"/>
        <v>0</v>
      </c>
      <c r="N177" s="294">
        <f t="shared" si="49"/>
        <v>0</v>
      </c>
      <c r="O177" s="294">
        <f t="shared" si="49"/>
        <v>0</v>
      </c>
      <c r="P177" s="294">
        <f t="shared" si="49"/>
        <v>0</v>
      </c>
      <c r="Q177" s="294">
        <v>0</v>
      </c>
      <c r="R177" s="294">
        <v>0</v>
      </c>
      <c r="S177" s="294">
        <f>SUM(S173:S176)</f>
        <v>0</v>
      </c>
      <c r="T177" s="294">
        <v>0</v>
      </c>
      <c r="U177" s="294">
        <f>T177-S177</f>
        <v>0</v>
      </c>
      <c r="V177" s="293">
        <v>0</v>
      </c>
      <c r="W177" s="263"/>
    </row>
    <row r="178" spans="1:23" ht="15.75" thickTop="1" x14ac:dyDescent="0.25">
      <c r="B178" s="292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</row>
    <row r="179" spans="1:23" x14ac:dyDescent="0.25">
      <c r="A179" t="s">
        <v>231</v>
      </c>
      <c r="B179" s="292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W179" s="263"/>
    </row>
    <row r="180" spans="1:23" x14ac:dyDescent="0.25">
      <c r="A180" s="289"/>
      <c r="B180" s="291" t="s">
        <v>910</v>
      </c>
      <c r="C180" t="s">
        <v>657</v>
      </c>
      <c r="D180" s="283">
        <v>0</v>
      </c>
      <c r="E180" s="283">
        <v>0</v>
      </c>
      <c r="G180" s="265">
        <v>0</v>
      </c>
      <c r="H180" s="265">
        <v>0</v>
      </c>
      <c r="I180" s="265">
        <v>0</v>
      </c>
      <c r="J180" s="265">
        <v>0</v>
      </c>
      <c r="K180" s="265">
        <v>0</v>
      </c>
      <c r="L180" s="265">
        <v>0</v>
      </c>
      <c r="M180" s="265">
        <v>0</v>
      </c>
      <c r="N180" s="265">
        <v>0</v>
      </c>
      <c r="O180" s="265">
        <v>0</v>
      </c>
      <c r="P180" s="265">
        <v>0</v>
      </c>
      <c r="Q180" s="265">
        <v>0</v>
      </c>
      <c r="R180" s="265">
        <v>0</v>
      </c>
      <c r="S180" s="265">
        <f t="shared" ref="S180:S185" si="50">SUM(G180:R180)</f>
        <v>0</v>
      </c>
      <c r="T180" s="265">
        <v>1100</v>
      </c>
      <c r="U180" s="265">
        <f t="shared" ref="U180:U185" si="51">T180-S180</f>
        <v>1100</v>
      </c>
      <c r="V180" s="262">
        <f>S180/T180</f>
        <v>0</v>
      </c>
      <c r="W180" s="263"/>
    </row>
    <row r="181" spans="1:23" x14ac:dyDescent="0.25">
      <c r="A181" s="289"/>
      <c r="B181" s="291" t="s">
        <v>640</v>
      </c>
      <c r="C181" t="s">
        <v>639</v>
      </c>
      <c r="D181" s="283">
        <v>14245.25</v>
      </c>
      <c r="E181" s="283">
        <v>0</v>
      </c>
      <c r="G181" s="265">
        <v>0</v>
      </c>
      <c r="H181" s="265">
        <v>0</v>
      </c>
      <c r="I181" s="265">
        <v>4533.75</v>
      </c>
      <c r="J181" s="265">
        <v>0</v>
      </c>
      <c r="K181" s="265">
        <v>0</v>
      </c>
      <c r="L181" s="265">
        <v>0</v>
      </c>
      <c r="M181" s="265">
        <v>0</v>
      </c>
      <c r="N181" s="265">
        <v>0</v>
      </c>
      <c r="O181" s="265">
        <v>0</v>
      </c>
      <c r="P181" s="265">
        <v>0</v>
      </c>
      <c r="Q181" s="265">
        <v>0</v>
      </c>
      <c r="R181" s="265">
        <v>0</v>
      </c>
      <c r="S181" s="265">
        <f t="shared" si="50"/>
        <v>4533.75</v>
      </c>
      <c r="T181" s="265">
        <v>0</v>
      </c>
      <c r="U181" s="265">
        <f t="shared" si="51"/>
        <v>-4533.75</v>
      </c>
      <c r="V181" s="262">
        <v>0</v>
      </c>
      <c r="W181" s="263"/>
    </row>
    <row r="182" spans="1:23" x14ac:dyDescent="0.25">
      <c r="A182" s="289"/>
      <c r="B182" s="291" t="s">
        <v>958</v>
      </c>
      <c r="C182" t="s">
        <v>959</v>
      </c>
      <c r="D182" s="283">
        <v>0</v>
      </c>
      <c r="E182" s="283">
        <v>150</v>
      </c>
      <c r="G182" s="265">
        <v>0</v>
      </c>
      <c r="H182" s="265">
        <v>0</v>
      </c>
      <c r="I182" s="265">
        <v>0</v>
      </c>
      <c r="J182" s="265">
        <v>0</v>
      </c>
      <c r="K182" s="265">
        <v>0</v>
      </c>
      <c r="L182" s="265">
        <v>0</v>
      </c>
      <c r="M182" s="265"/>
      <c r="N182" s="265"/>
      <c r="O182" s="265"/>
      <c r="P182" s="265"/>
      <c r="Q182" s="265"/>
      <c r="R182" s="265"/>
      <c r="S182" s="265">
        <f t="shared" si="50"/>
        <v>0</v>
      </c>
      <c r="T182" s="265">
        <v>0</v>
      </c>
      <c r="U182" s="265">
        <f t="shared" si="51"/>
        <v>0</v>
      </c>
      <c r="V182" s="262">
        <v>0</v>
      </c>
      <c r="W182" s="263"/>
    </row>
    <row r="183" spans="1:23" x14ac:dyDescent="0.25">
      <c r="A183" s="289"/>
      <c r="B183" s="291" t="s">
        <v>638</v>
      </c>
      <c r="C183" t="s">
        <v>595</v>
      </c>
      <c r="D183" s="283">
        <v>0</v>
      </c>
      <c r="E183" s="283">
        <v>500</v>
      </c>
      <c r="G183" s="265">
        <v>0</v>
      </c>
      <c r="H183" s="265">
        <v>0</v>
      </c>
      <c r="I183" s="265">
        <v>0</v>
      </c>
      <c r="J183" s="265">
        <v>0</v>
      </c>
      <c r="K183" s="265">
        <v>0</v>
      </c>
      <c r="L183" s="265">
        <v>0</v>
      </c>
      <c r="M183" s="265">
        <v>0</v>
      </c>
      <c r="N183" s="265">
        <v>0</v>
      </c>
      <c r="O183" s="265">
        <v>0</v>
      </c>
      <c r="P183" s="265">
        <v>0</v>
      </c>
      <c r="Q183" s="265">
        <v>0</v>
      </c>
      <c r="R183" s="265">
        <v>0</v>
      </c>
      <c r="S183" s="265">
        <f t="shared" si="50"/>
        <v>0</v>
      </c>
      <c r="T183" s="265">
        <v>500</v>
      </c>
      <c r="U183" s="265">
        <f t="shared" si="51"/>
        <v>500</v>
      </c>
      <c r="V183" s="262">
        <f>S183/T183</f>
        <v>0</v>
      </c>
      <c r="W183" s="263"/>
    </row>
    <row r="184" spans="1:23" x14ac:dyDescent="0.25">
      <c r="A184" s="289"/>
      <c r="B184" s="291" t="s">
        <v>637</v>
      </c>
      <c r="C184" t="s">
        <v>636</v>
      </c>
      <c r="D184" s="283">
        <v>0</v>
      </c>
      <c r="E184" s="283">
        <v>1000</v>
      </c>
      <c r="G184" s="265">
        <v>0</v>
      </c>
      <c r="H184" s="265">
        <v>0</v>
      </c>
      <c r="I184" s="265">
        <v>0</v>
      </c>
      <c r="J184" s="265">
        <v>0</v>
      </c>
      <c r="K184" s="265">
        <v>0</v>
      </c>
      <c r="L184" s="265">
        <v>0</v>
      </c>
      <c r="M184" s="265">
        <v>0</v>
      </c>
      <c r="N184" s="265">
        <v>0</v>
      </c>
      <c r="O184" s="265">
        <v>0</v>
      </c>
      <c r="P184" s="265">
        <v>0</v>
      </c>
      <c r="Q184" s="265">
        <v>0</v>
      </c>
      <c r="R184" s="265">
        <v>0</v>
      </c>
      <c r="S184" s="265">
        <f t="shared" si="50"/>
        <v>0</v>
      </c>
      <c r="T184" s="265">
        <v>800</v>
      </c>
      <c r="U184" s="265">
        <f t="shared" si="51"/>
        <v>800</v>
      </c>
      <c r="V184" s="262">
        <f>S184/T184</f>
        <v>0</v>
      </c>
      <c r="W184" s="263"/>
    </row>
    <row r="185" spans="1:23" x14ac:dyDescent="0.25">
      <c r="A185" s="289"/>
      <c r="B185" s="291" t="s">
        <v>635</v>
      </c>
      <c r="C185" t="s">
        <v>634</v>
      </c>
      <c r="D185" s="283">
        <v>9608.23</v>
      </c>
      <c r="E185" s="283">
        <v>7000</v>
      </c>
      <c r="G185" s="265">
        <v>0</v>
      </c>
      <c r="H185" s="265">
        <v>0</v>
      </c>
      <c r="I185" s="265">
        <v>6598</v>
      </c>
      <c r="J185" s="265">
        <v>0</v>
      </c>
      <c r="K185" s="265">
        <v>0</v>
      </c>
      <c r="L185" s="265">
        <v>945.58</v>
      </c>
      <c r="M185" s="265">
        <v>0</v>
      </c>
      <c r="N185" s="265">
        <v>0</v>
      </c>
      <c r="O185" s="265">
        <v>0</v>
      </c>
      <c r="P185" s="265">
        <v>0</v>
      </c>
      <c r="Q185" s="265">
        <v>0</v>
      </c>
      <c r="R185" s="265">
        <v>0</v>
      </c>
      <c r="S185" s="265">
        <f t="shared" si="50"/>
        <v>7543.58</v>
      </c>
      <c r="T185" s="265">
        <v>12900</v>
      </c>
      <c r="U185" s="265">
        <f t="shared" si="51"/>
        <v>5356.42</v>
      </c>
      <c r="V185" s="262">
        <f>S185/T185</f>
        <v>0.58477364341085269</v>
      </c>
    </row>
    <row r="186" spans="1:23" ht="15.75" thickBot="1" x14ac:dyDescent="0.3">
      <c r="B186" s="292"/>
      <c r="D186" s="363">
        <v>23853.48</v>
      </c>
      <c r="E186" s="376">
        <f>SUM(E180:E185)</f>
        <v>8650</v>
      </c>
      <c r="F186" s="350"/>
      <c r="G186" s="273">
        <f t="shared" ref="G186:P186" si="52">SUM(G180:G185)</f>
        <v>0</v>
      </c>
      <c r="H186" s="273">
        <f t="shared" si="52"/>
        <v>0</v>
      </c>
      <c r="I186" s="273">
        <f t="shared" si="52"/>
        <v>11131.75</v>
      </c>
      <c r="J186" s="273">
        <f t="shared" si="52"/>
        <v>0</v>
      </c>
      <c r="K186" s="273">
        <f t="shared" si="52"/>
        <v>0</v>
      </c>
      <c r="L186" s="273">
        <f t="shared" si="52"/>
        <v>945.58</v>
      </c>
      <c r="M186" s="273">
        <f t="shared" si="52"/>
        <v>0</v>
      </c>
      <c r="N186" s="273">
        <f t="shared" si="52"/>
        <v>0</v>
      </c>
      <c r="O186" s="273">
        <f t="shared" si="52"/>
        <v>0</v>
      </c>
      <c r="P186" s="273">
        <f t="shared" si="52"/>
        <v>0</v>
      </c>
      <c r="Q186" s="273">
        <f t="shared" ref="Q186" si="53">SUM(Q180:Q185)</f>
        <v>0</v>
      </c>
      <c r="R186" s="273">
        <f t="shared" ref="R186" si="54">SUM(R180:R185)</f>
        <v>0</v>
      </c>
      <c r="S186" s="273">
        <f>SUM(S180:S185)</f>
        <v>12077.33</v>
      </c>
      <c r="T186" s="273">
        <f>SUM(T180:T185)</f>
        <v>15300</v>
      </c>
      <c r="U186" s="273">
        <f>SUM(U180:U185)</f>
        <v>3222.67</v>
      </c>
      <c r="V186" s="272">
        <f>S186/T186</f>
        <v>0.78936797385620916</v>
      </c>
    </row>
    <row r="187" spans="1:23" ht="15.75" thickTop="1" x14ac:dyDescent="0.25">
      <c r="B187" s="292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W187" s="263"/>
    </row>
    <row r="188" spans="1:23" ht="17.25" x14ac:dyDescent="0.3">
      <c r="B188" s="292"/>
      <c r="C188" s="271" t="s">
        <v>633</v>
      </c>
      <c r="D188" s="366">
        <v>29552.23</v>
      </c>
      <c r="E188" s="270">
        <f t="shared" ref="E188:R188" si="55">E186+E177</f>
        <v>8650</v>
      </c>
      <c r="F188" s="355"/>
      <c r="G188" s="270">
        <f t="shared" si="55"/>
        <v>0</v>
      </c>
      <c r="H188" s="270">
        <f t="shared" si="55"/>
        <v>0</v>
      </c>
      <c r="I188" s="270">
        <f t="shared" si="55"/>
        <v>11131.75</v>
      </c>
      <c r="J188" s="270">
        <f t="shared" si="55"/>
        <v>0</v>
      </c>
      <c r="K188" s="270">
        <f t="shared" si="55"/>
        <v>0</v>
      </c>
      <c r="L188" s="270">
        <f t="shared" si="55"/>
        <v>945.58</v>
      </c>
      <c r="M188" s="270">
        <f t="shared" si="55"/>
        <v>0</v>
      </c>
      <c r="N188" s="270">
        <f t="shared" si="55"/>
        <v>0</v>
      </c>
      <c r="O188" s="270">
        <f t="shared" si="55"/>
        <v>0</v>
      </c>
      <c r="P188" s="270">
        <f t="shared" si="55"/>
        <v>0</v>
      </c>
      <c r="Q188" s="270">
        <f t="shared" si="55"/>
        <v>0</v>
      </c>
      <c r="R188" s="270">
        <f t="shared" si="55"/>
        <v>0</v>
      </c>
      <c r="S188" s="270">
        <f>S186+S177</f>
        <v>12077.33</v>
      </c>
      <c r="T188" s="270">
        <f>T186+T177</f>
        <v>15300</v>
      </c>
      <c r="U188" s="270">
        <f>U186+U177</f>
        <v>3222.67</v>
      </c>
      <c r="V188" s="269">
        <f>S188/T188</f>
        <v>0.78936797385620916</v>
      </c>
    </row>
    <row r="189" spans="1:23" x14ac:dyDescent="0.25">
      <c r="B189" s="292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</row>
    <row r="190" spans="1:23" ht="15.75" thickBot="1" x14ac:dyDescent="0.3">
      <c r="B190" s="292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</row>
    <row r="191" spans="1:23" ht="15.75" thickBot="1" x14ac:dyDescent="0.3">
      <c r="A191" s="13" t="s">
        <v>632</v>
      </c>
      <c r="B191" s="292"/>
      <c r="G191" s="387" t="s">
        <v>253</v>
      </c>
      <c r="H191" s="388"/>
      <c r="I191" s="388"/>
      <c r="J191" s="388"/>
      <c r="K191" s="388"/>
      <c r="L191" s="388"/>
      <c r="M191" s="388"/>
      <c r="N191" s="388"/>
      <c r="O191" s="388"/>
      <c r="P191" s="388"/>
      <c r="Q191" s="388"/>
      <c r="R191" s="388"/>
      <c r="S191" s="389"/>
      <c r="T191" s="265"/>
      <c r="U191" s="280" t="s">
        <v>252</v>
      </c>
    </row>
    <row r="192" spans="1:23" x14ac:dyDescent="0.25">
      <c r="A192" t="s">
        <v>251</v>
      </c>
      <c r="B192" s="292"/>
      <c r="D192" s="361" t="s">
        <v>954</v>
      </c>
      <c r="E192" s="373" t="s">
        <v>956</v>
      </c>
      <c r="G192" s="279" t="s">
        <v>868</v>
      </c>
      <c r="H192" s="279" t="s">
        <v>869</v>
      </c>
      <c r="I192" s="279" t="s">
        <v>870</v>
      </c>
      <c r="J192" s="279" t="s">
        <v>871</v>
      </c>
      <c r="K192" s="279" t="s">
        <v>872</v>
      </c>
      <c r="L192" s="279" t="s">
        <v>873</v>
      </c>
      <c r="M192" s="279" t="s">
        <v>874</v>
      </c>
      <c r="N192" s="279" t="s">
        <v>875</v>
      </c>
      <c r="O192" s="279" t="s">
        <v>876</v>
      </c>
      <c r="P192" s="279" t="s">
        <v>877</v>
      </c>
      <c r="Q192" s="279" t="s">
        <v>878</v>
      </c>
      <c r="R192" s="279" t="s">
        <v>879</v>
      </c>
      <c r="S192" s="310" t="s">
        <v>250</v>
      </c>
      <c r="T192" s="309" t="s">
        <v>880</v>
      </c>
      <c r="U192" s="277" t="s">
        <v>249</v>
      </c>
      <c r="V192" s="276" t="s">
        <v>248</v>
      </c>
      <c r="W192" s="263"/>
    </row>
    <row r="193" spans="1:23" x14ac:dyDescent="0.25">
      <c r="A193" s="289"/>
      <c r="B193" s="291" t="s">
        <v>631</v>
      </c>
      <c r="C193" t="s">
        <v>630</v>
      </c>
      <c r="D193" s="283">
        <v>9447.99</v>
      </c>
      <c r="E193" s="283">
        <v>10764</v>
      </c>
      <c r="G193" s="265">
        <v>458.33</v>
      </c>
      <c r="H193" s="265">
        <v>2124.5300000000002</v>
      </c>
      <c r="I193" s="265">
        <v>1631.07</v>
      </c>
      <c r="J193" s="265">
        <v>1631.07</v>
      </c>
      <c r="K193" s="265">
        <v>1631.07</v>
      </c>
      <c r="L193" s="265">
        <v>2464.17</v>
      </c>
      <c r="M193" s="265">
        <v>0</v>
      </c>
      <c r="N193" s="265">
        <v>0</v>
      </c>
      <c r="O193" s="265">
        <v>0</v>
      </c>
      <c r="P193" s="265">
        <v>0</v>
      </c>
      <c r="Q193" s="265">
        <v>0</v>
      </c>
      <c r="R193" s="265">
        <v>0</v>
      </c>
      <c r="S193" s="265">
        <f>SUM(G193:R193)</f>
        <v>9940.24</v>
      </c>
      <c r="T193" s="265">
        <v>19570</v>
      </c>
      <c r="U193" s="265">
        <f t="shared" ref="U193:U199" si="56">T193-S193</f>
        <v>9629.76</v>
      </c>
      <c r="V193" s="262">
        <f>S193/T193</f>
        <v>0.50793254982115477</v>
      </c>
      <c r="W193" s="263"/>
    </row>
    <row r="194" spans="1:23" x14ac:dyDescent="0.25">
      <c r="A194" s="289"/>
      <c r="B194" s="291" t="s">
        <v>629</v>
      </c>
      <c r="C194" t="s">
        <v>628</v>
      </c>
      <c r="D194" s="283">
        <v>6815.97</v>
      </c>
      <c r="E194" s="283">
        <v>5500</v>
      </c>
      <c r="G194" s="265">
        <v>897</v>
      </c>
      <c r="H194" s="265">
        <v>438.66999999999996</v>
      </c>
      <c r="I194" s="265">
        <v>458.33</v>
      </c>
      <c r="J194" s="265">
        <v>458.33</v>
      </c>
      <c r="K194" s="265">
        <v>458.33</v>
      </c>
      <c r="L194" s="265">
        <v>0</v>
      </c>
      <c r="M194" s="265">
        <v>0</v>
      </c>
      <c r="N194" s="265">
        <v>0</v>
      </c>
      <c r="O194" s="265">
        <v>0</v>
      </c>
      <c r="P194" s="265">
        <v>0</v>
      </c>
      <c r="Q194" s="265">
        <v>0</v>
      </c>
      <c r="R194" s="265">
        <v>0</v>
      </c>
      <c r="S194" s="265">
        <f>SUM(G194:R194)</f>
        <v>2710.66</v>
      </c>
      <c r="T194" s="265">
        <v>10000</v>
      </c>
      <c r="U194" s="265">
        <f t="shared" si="56"/>
        <v>7289.34</v>
      </c>
      <c r="V194" s="262">
        <f>S194/T194</f>
        <v>0.27106599999999997</v>
      </c>
      <c r="W194" s="263"/>
    </row>
    <row r="195" spans="1:23" x14ac:dyDescent="0.25">
      <c r="A195" s="289"/>
      <c r="B195" s="291" t="s">
        <v>627</v>
      </c>
      <c r="C195" t="s">
        <v>626</v>
      </c>
      <c r="D195" s="283">
        <v>32795.839999999997</v>
      </c>
      <c r="E195" s="283">
        <v>0</v>
      </c>
      <c r="G195" s="265">
        <v>4400</v>
      </c>
      <c r="H195" s="265">
        <v>4400</v>
      </c>
      <c r="I195" s="265">
        <v>4796</v>
      </c>
      <c r="J195" s="265">
        <v>4531.9900000000052</v>
      </c>
      <c r="K195" s="265">
        <v>4531.99</v>
      </c>
      <c r="L195" s="265">
        <v>4532</v>
      </c>
      <c r="M195" s="265">
        <v>0</v>
      </c>
      <c r="N195" s="265">
        <v>0</v>
      </c>
      <c r="O195" s="265">
        <v>0</v>
      </c>
      <c r="P195" s="265">
        <v>0</v>
      </c>
      <c r="Q195" s="265">
        <v>0</v>
      </c>
      <c r="R195" s="265">
        <v>0</v>
      </c>
      <c r="S195" s="265">
        <f t="shared" ref="S195:S199" si="57">SUM(G195:R195)</f>
        <v>27191.980000000003</v>
      </c>
      <c r="T195" s="265">
        <v>0</v>
      </c>
      <c r="U195" s="265">
        <f t="shared" si="56"/>
        <v>-27191.980000000003</v>
      </c>
      <c r="V195" s="262">
        <v>0</v>
      </c>
      <c r="W195" s="263"/>
    </row>
    <row r="196" spans="1:23" x14ac:dyDescent="0.25">
      <c r="A196" s="289"/>
      <c r="B196" s="291" t="s">
        <v>625</v>
      </c>
      <c r="C196" t="s">
        <v>624</v>
      </c>
      <c r="D196" s="283">
        <v>0</v>
      </c>
      <c r="E196" s="283">
        <v>26400</v>
      </c>
      <c r="G196" s="265">
        <v>0</v>
      </c>
      <c r="H196" s="265">
        <v>0</v>
      </c>
      <c r="I196" s="265">
        <v>0</v>
      </c>
      <c r="J196" s="265">
        <v>0</v>
      </c>
      <c r="K196" s="265">
        <v>0</v>
      </c>
      <c r="L196" s="265">
        <v>0</v>
      </c>
      <c r="M196" s="265">
        <v>0</v>
      </c>
      <c r="N196" s="265">
        <v>0</v>
      </c>
      <c r="O196" s="265">
        <v>0</v>
      </c>
      <c r="P196" s="265">
        <v>0</v>
      </c>
      <c r="Q196" s="265">
        <v>0</v>
      </c>
      <c r="R196" s="265">
        <v>0</v>
      </c>
      <c r="S196" s="265">
        <f t="shared" si="57"/>
        <v>0</v>
      </c>
      <c r="T196" s="265">
        <v>27192</v>
      </c>
      <c r="U196" s="265">
        <f t="shared" si="56"/>
        <v>27192</v>
      </c>
      <c r="V196" s="262">
        <f>S196/T196</f>
        <v>0</v>
      </c>
      <c r="W196" s="263"/>
    </row>
    <row r="197" spans="1:23" x14ac:dyDescent="0.25">
      <c r="A197" s="289"/>
      <c r="B197" s="291" t="s">
        <v>623</v>
      </c>
      <c r="C197" t="s">
        <v>622</v>
      </c>
      <c r="D197" s="283">
        <v>55242.92</v>
      </c>
      <c r="E197" s="283">
        <v>125000</v>
      </c>
      <c r="G197" s="265">
        <v>13000</v>
      </c>
      <c r="H197" s="265">
        <v>7000</v>
      </c>
      <c r="I197" s="265">
        <v>8000</v>
      </c>
      <c r="J197" s="265">
        <v>0</v>
      </c>
      <c r="K197" s="265">
        <v>4937.5</v>
      </c>
      <c r="L197" s="265">
        <v>0</v>
      </c>
      <c r="M197" s="265">
        <v>0</v>
      </c>
      <c r="N197" s="265">
        <v>0</v>
      </c>
      <c r="O197" s="265">
        <v>0</v>
      </c>
      <c r="P197" s="265">
        <v>0</v>
      </c>
      <c r="Q197" s="265">
        <v>0</v>
      </c>
      <c r="R197" s="265">
        <v>0</v>
      </c>
      <c r="S197" s="265">
        <f t="shared" si="57"/>
        <v>32937.5</v>
      </c>
      <c r="T197" s="265">
        <v>70000</v>
      </c>
      <c r="U197" s="265">
        <f t="shared" si="56"/>
        <v>37062.5</v>
      </c>
      <c r="V197" s="262">
        <f>S197/T197</f>
        <v>0.47053571428571428</v>
      </c>
      <c r="W197" s="263"/>
    </row>
    <row r="198" spans="1:23" x14ac:dyDescent="0.25">
      <c r="A198" s="289"/>
      <c r="B198" s="291" t="s">
        <v>911</v>
      </c>
      <c r="C198" t="s">
        <v>262</v>
      </c>
      <c r="D198" s="283">
        <v>0</v>
      </c>
      <c r="E198" s="283">
        <v>0</v>
      </c>
      <c r="G198" s="265">
        <v>0</v>
      </c>
      <c r="H198" s="265">
        <v>0</v>
      </c>
      <c r="I198" s="265">
        <v>0</v>
      </c>
      <c r="J198" s="265">
        <v>0</v>
      </c>
      <c r="K198" s="265">
        <v>0</v>
      </c>
      <c r="L198" s="265">
        <v>0</v>
      </c>
      <c r="M198" s="265">
        <v>0</v>
      </c>
      <c r="N198" s="265">
        <v>0</v>
      </c>
      <c r="O198" s="265">
        <v>0</v>
      </c>
      <c r="P198" s="265">
        <v>0</v>
      </c>
      <c r="Q198" s="265">
        <v>0</v>
      </c>
      <c r="R198" s="265">
        <v>0</v>
      </c>
      <c r="S198" s="265">
        <f t="shared" ref="S198" si="58">SUM(G198:R198)</f>
        <v>0</v>
      </c>
      <c r="T198" s="265">
        <v>4618.47</v>
      </c>
      <c r="U198" s="265">
        <f t="shared" si="56"/>
        <v>4618.47</v>
      </c>
      <c r="V198" s="262">
        <f>S198/T198</f>
        <v>0</v>
      </c>
      <c r="W198" s="263"/>
    </row>
    <row r="199" spans="1:23" x14ac:dyDescent="0.25">
      <c r="A199" s="289"/>
      <c r="B199" s="291" t="s">
        <v>621</v>
      </c>
      <c r="C199" t="s">
        <v>234</v>
      </c>
      <c r="D199" s="283">
        <v>62197.440000000002</v>
      </c>
      <c r="E199" s="283">
        <v>47664</v>
      </c>
      <c r="G199" s="265">
        <v>6057</v>
      </c>
      <c r="H199" s="265">
        <v>5752.5</v>
      </c>
      <c r="I199" s="265">
        <v>6162.75</v>
      </c>
      <c r="J199" s="265">
        <v>6303.75</v>
      </c>
      <c r="K199" s="265">
        <v>6303.75</v>
      </c>
      <c r="L199" s="265">
        <v>6339</v>
      </c>
      <c r="M199" s="265">
        <v>0</v>
      </c>
      <c r="N199" s="265">
        <v>0</v>
      </c>
      <c r="O199" s="265">
        <v>0</v>
      </c>
      <c r="P199" s="265">
        <v>0</v>
      </c>
      <c r="Q199" s="265">
        <v>0</v>
      </c>
      <c r="R199" s="265">
        <v>0</v>
      </c>
      <c r="S199" s="265">
        <f t="shared" si="57"/>
        <v>36918.75</v>
      </c>
      <c r="T199" s="265">
        <v>79882.47</v>
      </c>
      <c r="U199" s="265">
        <f t="shared" si="56"/>
        <v>42963.72</v>
      </c>
      <c r="V199" s="262">
        <f>S199/T199</f>
        <v>0.46216335073264508</v>
      </c>
      <c r="W199" s="263"/>
    </row>
    <row r="200" spans="1:23" ht="15.75" thickBot="1" x14ac:dyDescent="0.3">
      <c r="B200" s="292"/>
      <c r="D200" s="363">
        <v>166500.16</v>
      </c>
      <c r="E200" s="273">
        <v>215328</v>
      </c>
      <c r="F200" s="350"/>
      <c r="G200" s="273">
        <f t="shared" ref="G200:R200" si="59">SUM(G193:G199)</f>
        <v>24812.33</v>
      </c>
      <c r="H200" s="273">
        <f t="shared" si="59"/>
        <v>19715.7</v>
      </c>
      <c r="I200" s="273">
        <f t="shared" si="59"/>
        <v>21048.15</v>
      </c>
      <c r="J200" s="273">
        <f t="shared" si="59"/>
        <v>12925.140000000005</v>
      </c>
      <c r="K200" s="273">
        <f t="shared" si="59"/>
        <v>17862.64</v>
      </c>
      <c r="L200" s="273">
        <f t="shared" si="59"/>
        <v>13335.17</v>
      </c>
      <c r="M200" s="273">
        <f t="shared" si="59"/>
        <v>0</v>
      </c>
      <c r="N200" s="273">
        <f t="shared" si="59"/>
        <v>0</v>
      </c>
      <c r="O200" s="273">
        <f t="shared" si="59"/>
        <v>0</v>
      </c>
      <c r="P200" s="273">
        <f t="shared" si="59"/>
        <v>0</v>
      </c>
      <c r="Q200" s="273">
        <f t="shared" si="59"/>
        <v>0</v>
      </c>
      <c r="R200" s="273">
        <f t="shared" si="59"/>
        <v>0</v>
      </c>
      <c r="S200" s="273">
        <f>SUM(S193:S199)</f>
        <v>109699.13</v>
      </c>
      <c r="T200" s="273">
        <f>SUM(T193:T199)</f>
        <v>211262.94</v>
      </c>
      <c r="U200" s="273">
        <f>SUM(U193:U199)</f>
        <v>101563.81</v>
      </c>
      <c r="V200" s="272">
        <f>S200/T200</f>
        <v>0.5192540158723532</v>
      </c>
    </row>
    <row r="201" spans="1:23" ht="15.75" thickTop="1" x14ac:dyDescent="0.25">
      <c r="A201" t="s">
        <v>231</v>
      </c>
      <c r="B201" s="292"/>
      <c r="G201" s="265"/>
      <c r="H201" s="265"/>
      <c r="I201" s="265"/>
      <c r="J201" s="265"/>
      <c r="K201" s="265"/>
      <c r="L201" s="265">
        <v>0</v>
      </c>
      <c r="M201" s="265"/>
      <c r="N201" s="265"/>
      <c r="O201" s="265"/>
      <c r="P201" s="265"/>
      <c r="Q201" s="265"/>
      <c r="R201" s="265"/>
      <c r="S201" s="265"/>
      <c r="T201" s="265"/>
      <c r="U201" s="265"/>
      <c r="W201" s="263"/>
    </row>
    <row r="202" spans="1:23" x14ac:dyDescent="0.25">
      <c r="B202" s="291" t="s">
        <v>620</v>
      </c>
      <c r="C202" t="s">
        <v>229</v>
      </c>
      <c r="D202" s="283">
        <v>12351.13</v>
      </c>
      <c r="E202" s="283">
        <v>25000</v>
      </c>
      <c r="G202" s="265">
        <f>938.06-H202+294.81</f>
        <v>649.49</v>
      </c>
      <c r="H202" s="265">
        <f>288.57+294.81</f>
        <v>583.38</v>
      </c>
      <c r="I202" s="265">
        <v>671.78</v>
      </c>
      <c r="J202" s="265">
        <v>712.66</v>
      </c>
      <c r="K202" s="265">
        <f>574.28</f>
        <v>574.28</v>
      </c>
      <c r="L202" s="265">
        <v>254.08</v>
      </c>
      <c r="M202" s="265">
        <v>0</v>
      </c>
      <c r="N202" s="265">
        <v>0</v>
      </c>
      <c r="O202" s="265">
        <v>0</v>
      </c>
      <c r="P202" s="265">
        <v>0</v>
      </c>
      <c r="Q202" s="265">
        <v>0</v>
      </c>
      <c r="R202" s="265">
        <v>0</v>
      </c>
      <c r="S202" s="265">
        <f t="shared" ref="S202:S221" si="60">SUM(G202:R202)</f>
        <v>3445.67</v>
      </c>
      <c r="T202" s="265">
        <v>13000</v>
      </c>
      <c r="U202" s="265">
        <f t="shared" ref="U202:U221" si="61">T202-S202</f>
        <v>9554.33</v>
      </c>
      <c r="V202" s="262">
        <f t="shared" ref="V202:V213" si="62">S202/T202</f>
        <v>0.26505153846153845</v>
      </c>
      <c r="W202" s="263"/>
    </row>
    <row r="203" spans="1:23" x14ac:dyDescent="0.25">
      <c r="B203" s="291" t="s">
        <v>619</v>
      </c>
      <c r="C203" t="s">
        <v>618</v>
      </c>
      <c r="D203" s="283">
        <v>18017.5</v>
      </c>
      <c r="E203" s="283">
        <v>16821.490000000002</v>
      </c>
      <c r="G203" s="265">
        <v>0</v>
      </c>
      <c r="H203" s="265">
        <v>0</v>
      </c>
      <c r="I203" s="265">
        <v>243.75</v>
      </c>
      <c r="J203" s="265">
        <v>0</v>
      </c>
      <c r="K203" s="265">
        <v>146.25</v>
      </c>
      <c r="L203" s="265">
        <v>0</v>
      </c>
      <c r="M203" s="265">
        <v>0</v>
      </c>
      <c r="N203" s="265">
        <v>0</v>
      </c>
      <c r="O203" s="265">
        <v>0</v>
      </c>
      <c r="P203" s="265">
        <v>0</v>
      </c>
      <c r="Q203" s="265">
        <v>0</v>
      </c>
      <c r="R203" s="265">
        <v>0</v>
      </c>
      <c r="S203" s="265">
        <f t="shared" si="60"/>
        <v>390</v>
      </c>
      <c r="T203" s="265">
        <v>20000</v>
      </c>
      <c r="U203" s="265">
        <f t="shared" si="61"/>
        <v>19610</v>
      </c>
      <c r="V203" s="262">
        <f t="shared" si="62"/>
        <v>1.95E-2</v>
      </c>
      <c r="W203" s="263"/>
    </row>
    <row r="204" spans="1:23" x14ac:dyDescent="0.25">
      <c r="B204" s="291" t="s">
        <v>617</v>
      </c>
      <c r="C204" t="s">
        <v>616</v>
      </c>
      <c r="D204" s="283">
        <v>69725</v>
      </c>
      <c r="E204" s="283">
        <v>48000</v>
      </c>
      <c r="G204" s="265">
        <v>9000</v>
      </c>
      <c r="H204" s="265">
        <v>0</v>
      </c>
      <c r="I204" s="265">
        <v>0</v>
      </c>
      <c r="J204" s="265">
        <v>25000</v>
      </c>
      <c r="K204" s="265">
        <v>0</v>
      </c>
      <c r="L204" s="265">
        <v>0</v>
      </c>
      <c r="M204" s="265">
        <v>0</v>
      </c>
      <c r="N204" s="265">
        <v>0</v>
      </c>
      <c r="O204" s="265">
        <v>0</v>
      </c>
      <c r="P204" s="265">
        <v>0</v>
      </c>
      <c r="Q204" s="265">
        <v>0</v>
      </c>
      <c r="R204" s="265">
        <v>0</v>
      </c>
      <c r="S204" s="265">
        <f t="shared" si="60"/>
        <v>34000</v>
      </c>
      <c r="T204" s="265">
        <v>48000</v>
      </c>
      <c r="U204" s="265">
        <f t="shared" si="61"/>
        <v>14000</v>
      </c>
      <c r="V204" s="262">
        <f t="shared" si="62"/>
        <v>0.70833333333333337</v>
      </c>
      <c r="W204" s="263"/>
    </row>
    <row r="205" spans="1:23" x14ac:dyDescent="0.25">
      <c r="B205" s="291" t="s">
        <v>960</v>
      </c>
      <c r="C205" t="s">
        <v>961</v>
      </c>
      <c r="D205" s="283">
        <v>0</v>
      </c>
      <c r="E205" s="283">
        <v>15000</v>
      </c>
      <c r="G205" s="265">
        <v>0</v>
      </c>
      <c r="H205" s="265">
        <v>0</v>
      </c>
      <c r="I205" s="265">
        <v>0</v>
      </c>
      <c r="J205" s="265">
        <v>0</v>
      </c>
      <c r="K205" s="265">
        <v>0</v>
      </c>
      <c r="L205" s="265">
        <v>0</v>
      </c>
      <c r="M205" s="265"/>
      <c r="N205" s="265"/>
      <c r="O205" s="265"/>
      <c r="P205" s="265"/>
      <c r="Q205" s="265"/>
      <c r="R205" s="265"/>
      <c r="S205" s="265">
        <f t="shared" si="60"/>
        <v>0</v>
      </c>
      <c r="T205" s="265">
        <v>0</v>
      </c>
      <c r="U205" s="265">
        <f t="shared" ref="U205" si="63">T205-S205</f>
        <v>0</v>
      </c>
      <c r="V205" s="262">
        <v>0</v>
      </c>
      <c r="W205" s="263"/>
    </row>
    <row r="206" spans="1:23" x14ac:dyDescent="0.25">
      <c r="B206" s="291" t="s">
        <v>615</v>
      </c>
      <c r="C206" t="s">
        <v>225</v>
      </c>
      <c r="D206" s="283">
        <v>12886.48</v>
      </c>
      <c r="E206" s="283">
        <v>7500</v>
      </c>
      <c r="G206" s="265">
        <f>1775.17-H206</f>
        <v>352.47</v>
      </c>
      <c r="H206" s="265">
        <v>1422.7</v>
      </c>
      <c r="I206" s="265">
        <v>2695.29</v>
      </c>
      <c r="J206" s="265">
        <v>140.91</v>
      </c>
      <c r="K206" s="265">
        <v>152.47999999999999</v>
      </c>
      <c r="L206" s="265">
        <v>123.31</v>
      </c>
      <c r="M206" s="265">
        <v>0</v>
      </c>
      <c r="N206" s="265">
        <v>0</v>
      </c>
      <c r="O206" s="265">
        <v>0</v>
      </c>
      <c r="P206" s="265">
        <v>0</v>
      </c>
      <c r="Q206" s="265">
        <v>0</v>
      </c>
      <c r="R206" s="265">
        <v>0</v>
      </c>
      <c r="S206" s="265">
        <f t="shared" si="60"/>
        <v>4887.16</v>
      </c>
      <c r="T206" s="265">
        <v>12000</v>
      </c>
      <c r="U206" s="265">
        <f t="shared" si="61"/>
        <v>7112.84</v>
      </c>
      <c r="V206" s="262">
        <f t="shared" si="62"/>
        <v>0.40726333333333331</v>
      </c>
      <c r="W206" s="263"/>
    </row>
    <row r="207" spans="1:23" x14ac:dyDescent="0.25">
      <c r="B207" s="291" t="s">
        <v>614</v>
      </c>
      <c r="C207" t="s">
        <v>613</v>
      </c>
      <c r="D207" s="283">
        <v>1155</v>
      </c>
      <c r="E207" s="283">
        <v>0</v>
      </c>
      <c r="G207" s="265">
        <v>135</v>
      </c>
      <c r="H207" s="265">
        <v>135</v>
      </c>
      <c r="I207" s="265">
        <v>135</v>
      </c>
      <c r="J207" s="265">
        <v>135</v>
      </c>
      <c r="K207" s="265">
        <v>135</v>
      </c>
      <c r="L207" s="265">
        <v>135</v>
      </c>
      <c r="M207" s="265">
        <v>0</v>
      </c>
      <c r="N207" s="265">
        <v>0</v>
      </c>
      <c r="O207" s="265">
        <v>0</v>
      </c>
      <c r="P207" s="265">
        <v>0</v>
      </c>
      <c r="Q207" s="265">
        <v>0</v>
      </c>
      <c r="R207" s="265">
        <v>0</v>
      </c>
      <c r="S207" s="265">
        <f t="shared" si="60"/>
        <v>810</v>
      </c>
      <c r="T207" s="265">
        <v>750</v>
      </c>
      <c r="U207" s="265">
        <f t="shared" si="61"/>
        <v>-60</v>
      </c>
      <c r="V207" s="262">
        <f t="shared" si="62"/>
        <v>1.08</v>
      </c>
      <c r="W207" s="263"/>
    </row>
    <row r="208" spans="1:23" x14ac:dyDescent="0.25">
      <c r="B208" s="291" t="s">
        <v>612</v>
      </c>
      <c r="C208" t="s">
        <v>611</v>
      </c>
      <c r="D208" s="283">
        <v>8824.5</v>
      </c>
      <c r="E208" s="283">
        <v>5700</v>
      </c>
      <c r="G208" s="265">
        <v>0</v>
      </c>
      <c r="H208" s="265">
        <v>440</v>
      </c>
      <c r="I208" s="265">
        <v>0</v>
      </c>
      <c r="J208" s="265">
        <v>0</v>
      </c>
      <c r="K208" s="265">
        <v>340</v>
      </c>
      <c r="L208" s="265">
        <v>150</v>
      </c>
      <c r="M208" s="265">
        <v>0</v>
      </c>
      <c r="N208" s="265">
        <v>0</v>
      </c>
      <c r="O208" s="265">
        <v>0</v>
      </c>
      <c r="P208" s="265">
        <v>0</v>
      </c>
      <c r="Q208" s="265">
        <v>0</v>
      </c>
      <c r="R208" s="265">
        <v>0</v>
      </c>
      <c r="S208" s="265">
        <f t="shared" si="60"/>
        <v>930</v>
      </c>
      <c r="T208" s="265">
        <v>5700</v>
      </c>
      <c r="U208" s="265">
        <f t="shared" si="61"/>
        <v>4770</v>
      </c>
      <c r="V208" s="262">
        <f t="shared" si="62"/>
        <v>0.16315789473684211</v>
      </c>
      <c r="W208" s="263"/>
    </row>
    <row r="209" spans="1:23" x14ac:dyDescent="0.25">
      <c r="B209" s="291" t="s">
        <v>610</v>
      </c>
      <c r="C209" t="s">
        <v>609</v>
      </c>
      <c r="D209" s="283">
        <v>5305</v>
      </c>
      <c r="E209" s="283">
        <v>5000</v>
      </c>
      <c r="G209" s="265">
        <v>0</v>
      </c>
      <c r="H209" s="265">
        <v>0</v>
      </c>
      <c r="I209" s="265">
        <v>0</v>
      </c>
      <c r="J209" s="265">
        <v>0</v>
      </c>
      <c r="K209" s="265">
        <v>0</v>
      </c>
      <c r="L209" s="265">
        <v>0</v>
      </c>
      <c r="M209" s="265">
        <v>0</v>
      </c>
      <c r="N209" s="265">
        <v>0</v>
      </c>
      <c r="O209" s="265">
        <v>0</v>
      </c>
      <c r="P209" s="265">
        <v>0</v>
      </c>
      <c r="Q209" s="265">
        <v>0</v>
      </c>
      <c r="R209" s="265">
        <v>0</v>
      </c>
      <c r="S209" s="265">
        <f t="shared" si="60"/>
        <v>0</v>
      </c>
      <c r="T209" s="265">
        <v>5000</v>
      </c>
      <c r="U209" s="265">
        <f t="shared" si="61"/>
        <v>5000</v>
      </c>
      <c r="V209" s="262">
        <f t="shared" si="62"/>
        <v>0</v>
      </c>
      <c r="W209" s="263"/>
    </row>
    <row r="210" spans="1:23" x14ac:dyDescent="0.25">
      <c r="B210" s="291" t="s">
        <v>608</v>
      </c>
      <c r="C210" t="s">
        <v>607</v>
      </c>
      <c r="D210" s="283">
        <v>3128.41</v>
      </c>
      <c r="E210" s="283">
        <v>4900</v>
      </c>
      <c r="G210" s="265">
        <v>374.75</v>
      </c>
      <c r="H210" s="265">
        <v>394.75</v>
      </c>
      <c r="I210" s="265">
        <v>394.75</v>
      </c>
      <c r="J210" s="265">
        <v>384.75</v>
      </c>
      <c r="K210" s="265">
        <v>394.75</v>
      </c>
      <c r="L210" s="265">
        <v>394.75</v>
      </c>
      <c r="M210" s="265">
        <v>0</v>
      </c>
      <c r="N210" s="265">
        <v>0</v>
      </c>
      <c r="O210" s="265">
        <v>0</v>
      </c>
      <c r="P210" s="265">
        <v>0</v>
      </c>
      <c r="Q210" s="265">
        <v>0</v>
      </c>
      <c r="R210" s="265">
        <v>0</v>
      </c>
      <c r="S210" s="265">
        <f t="shared" si="60"/>
        <v>2338.5</v>
      </c>
      <c r="T210" s="265">
        <v>2700</v>
      </c>
      <c r="U210" s="265">
        <f t="shared" si="61"/>
        <v>361.5</v>
      </c>
      <c r="V210" s="262">
        <f t="shared" si="62"/>
        <v>0.86611111111111116</v>
      </c>
      <c r="W210" s="263"/>
    </row>
    <row r="211" spans="1:23" x14ac:dyDescent="0.25">
      <c r="A211" t="s">
        <v>55</v>
      </c>
      <c r="B211" s="292" t="s">
        <v>917</v>
      </c>
      <c r="C211" t="s">
        <v>606</v>
      </c>
      <c r="D211" s="283">
        <v>5275</v>
      </c>
      <c r="E211" s="283">
        <v>5000</v>
      </c>
      <c r="G211" s="265">
        <v>0</v>
      </c>
      <c r="H211" s="265">
        <v>0</v>
      </c>
      <c r="I211" s="265">
        <v>0</v>
      </c>
      <c r="J211" s="265">
        <v>0</v>
      </c>
      <c r="K211" s="265">
        <v>0</v>
      </c>
      <c r="L211" s="265">
        <v>1779.98</v>
      </c>
      <c r="M211" s="265">
        <v>0</v>
      </c>
      <c r="N211" s="265">
        <v>0</v>
      </c>
      <c r="O211" s="265">
        <v>0</v>
      </c>
      <c r="P211" s="265">
        <v>0</v>
      </c>
      <c r="Q211" s="265">
        <v>0</v>
      </c>
      <c r="R211" s="265">
        <v>0</v>
      </c>
      <c r="S211" s="265">
        <f t="shared" si="60"/>
        <v>1779.98</v>
      </c>
      <c r="T211" s="265">
        <v>5000</v>
      </c>
      <c r="U211" s="265">
        <f t="shared" si="61"/>
        <v>3220.02</v>
      </c>
      <c r="V211" s="262">
        <f t="shared" si="62"/>
        <v>0.35599599999999998</v>
      </c>
      <c r="W211" s="263"/>
    </row>
    <row r="212" spans="1:23" x14ac:dyDescent="0.25">
      <c r="B212" s="291" t="s">
        <v>605</v>
      </c>
      <c r="C212" t="s">
        <v>604</v>
      </c>
      <c r="D212" s="283">
        <v>-192417.5</v>
      </c>
      <c r="E212" s="283">
        <v>7211.18</v>
      </c>
      <c r="G212" s="265">
        <v>197592</v>
      </c>
      <c r="H212" s="265">
        <v>12.676061187006781</v>
      </c>
      <c r="I212" s="265">
        <v>0</v>
      </c>
      <c r="J212" s="265">
        <v>-192783.18606118701</v>
      </c>
      <c r="K212" s="265">
        <v>0</v>
      </c>
      <c r="L212" s="265">
        <v>0</v>
      </c>
      <c r="M212" s="265">
        <v>0</v>
      </c>
      <c r="N212" s="265">
        <v>0</v>
      </c>
      <c r="O212" s="265">
        <v>0</v>
      </c>
      <c r="P212" s="265">
        <v>0</v>
      </c>
      <c r="Q212" s="265">
        <v>0</v>
      </c>
      <c r="R212" s="265">
        <v>0</v>
      </c>
      <c r="S212" s="265">
        <f t="shared" si="60"/>
        <v>4821.4899999999907</v>
      </c>
      <c r="T212" s="265">
        <v>7211.18</v>
      </c>
      <c r="U212" s="265">
        <f t="shared" si="61"/>
        <v>2389.6900000000096</v>
      </c>
      <c r="V212" s="262">
        <f t="shared" si="62"/>
        <v>0.66861318119919211</v>
      </c>
      <c r="W212" s="263"/>
    </row>
    <row r="213" spans="1:23" x14ac:dyDescent="0.25">
      <c r="B213" s="291" t="s">
        <v>603</v>
      </c>
      <c r="C213" t="s">
        <v>602</v>
      </c>
      <c r="D213" s="283">
        <v>-158585.74</v>
      </c>
      <c r="E213" s="283">
        <v>1013.37</v>
      </c>
      <c r="G213" s="265">
        <v>159870.5</v>
      </c>
      <c r="H213" s="265">
        <v>0</v>
      </c>
      <c r="I213" s="265">
        <v>0</v>
      </c>
      <c r="J213" s="265">
        <v>-159493.173583019</v>
      </c>
      <c r="K213" s="265">
        <v>0</v>
      </c>
      <c r="L213" s="265">
        <v>0</v>
      </c>
      <c r="M213" s="265">
        <v>0</v>
      </c>
      <c r="N213" s="265">
        <v>0</v>
      </c>
      <c r="O213" s="265">
        <v>0</v>
      </c>
      <c r="P213" s="265">
        <v>0</v>
      </c>
      <c r="Q213" s="265">
        <v>0</v>
      </c>
      <c r="R213" s="265">
        <v>0</v>
      </c>
      <c r="S213" s="265">
        <f t="shared" si="60"/>
        <v>377.32641698099906</v>
      </c>
      <c r="T213" s="265">
        <v>1013.37</v>
      </c>
      <c r="U213" s="265">
        <f t="shared" si="61"/>
        <v>636.04358301900095</v>
      </c>
      <c r="V213" s="262">
        <f t="shared" si="62"/>
        <v>0.37234812258207667</v>
      </c>
      <c r="W213" s="263"/>
    </row>
    <row r="214" spans="1:23" x14ac:dyDescent="0.25">
      <c r="B214" s="291" t="s">
        <v>915</v>
      </c>
      <c r="C214" t="s">
        <v>659</v>
      </c>
      <c r="D214" s="283">
        <v>0</v>
      </c>
      <c r="E214" s="283">
        <v>0</v>
      </c>
      <c r="G214" s="265">
        <v>0</v>
      </c>
      <c r="H214" s="265">
        <v>0</v>
      </c>
      <c r="I214" s="265">
        <v>20</v>
      </c>
      <c r="J214" s="265">
        <v>0</v>
      </c>
      <c r="K214" s="265">
        <v>0</v>
      </c>
      <c r="L214" s="265">
        <v>0</v>
      </c>
      <c r="M214" s="265">
        <v>0</v>
      </c>
      <c r="N214" s="265">
        <v>0</v>
      </c>
      <c r="O214" s="265">
        <v>0</v>
      </c>
      <c r="P214" s="265">
        <v>0</v>
      </c>
      <c r="Q214" s="265">
        <v>0</v>
      </c>
      <c r="R214" s="265">
        <v>0</v>
      </c>
      <c r="S214" s="265">
        <f t="shared" si="60"/>
        <v>20</v>
      </c>
      <c r="T214" s="265">
        <v>0</v>
      </c>
      <c r="U214" s="265">
        <f t="shared" si="61"/>
        <v>-20</v>
      </c>
      <c r="V214" s="262">
        <v>0</v>
      </c>
      <c r="W214" s="263"/>
    </row>
    <row r="215" spans="1:23" x14ac:dyDescent="0.25">
      <c r="B215" s="291" t="s">
        <v>601</v>
      </c>
      <c r="C215" t="s">
        <v>600</v>
      </c>
      <c r="D215" s="283">
        <v>419.05</v>
      </c>
      <c r="E215" s="283">
        <v>0</v>
      </c>
      <c r="G215" s="265">
        <v>0</v>
      </c>
      <c r="H215" s="265">
        <v>0</v>
      </c>
      <c r="I215" s="265">
        <v>0</v>
      </c>
      <c r="J215" s="265">
        <v>0</v>
      </c>
      <c r="K215" s="265">
        <v>0</v>
      </c>
      <c r="L215" s="265">
        <v>0</v>
      </c>
      <c r="M215" s="265">
        <v>0</v>
      </c>
      <c r="N215" s="265">
        <v>0</v>
      </c>
      <c r="O215" s="265">
        <v>0</v>
      </c>
      <c r="P215" s="265">
        <v>0</v>
      </c>
      <c r="Q215" s="265">
        <v>0</v>
      </c>
      <c r="R215" s="265">
        <v>0</v>
      </c>
      <c r="S215" s="265">
        <f t="shared" si="60"/>
        <v>0</v>
      </c>
      <c r="T215" s="265">
        <v>0</v>
      </c>
      <c r="U215" s="265">
        <f t="shared" si="61"/>
        <v>0</v>
      </c>
      <c r="V215" s="262">
        <v>0</v>
      </c>
      <c r="W215" s="263"/>
    </row>
    <row r="216" spans="1:23" x14ac:dyDescent="0.25">
      <c r="B216" s="291" t="s">
        <v>599</v>
      </c>
      <c r="C216" t="s">
        <v>194</v>
      </c>
      <c r="D216" s="283">
        <v>740</v>
      </c>
      <c r="E216" s="283">
        <v>1000</v>
      </c>
      <c r="G216" s="265">
        <v>0</v>
      </c>
      <c r="H216" s="265">
        <v>-211.32</v>
      </c>
      <c r="I216" s="265">
        <v>0</v>
      </c>
      <c r="J216" s="265">
        <v>0</v>
      </c>
      <c r="K216" s="265">
        <v>0</v>
      </c>
      <c r="L216" s="265">
        <v>0</v>
      </c>
      <c r="M216" s="265">
        <v>0</v>
      </c>
      <c r="N216" s="265">
        <v>0</v>
      </c>
      <c r="O216" s="265">
        <v>0</v>
      </c>
      <c r="P216" s="265">
        <v>0</v>
      </c>
      <c r="Q216" s="265">
        <v>0</v>
      </c>
      <c r="R216" s="265">
        <v>0</v>
      </c>
      <c r="S216" s="265">
        <f t="shared" si="60"/>
        <v>-211.32</v>
      </c>
      <c r="T216" s="265">
        <v>1000</v>
      </c>
      <c r="U216" s="265">
        <f t="shared" si="61"/>
        <v>1211.32</v>
      </c>
      <c r="V216" s="262">
        <f>S216/T216</f>
        <v>-0.21131999999999998</v>
      </c>
      <c r="W216" s="263"/>
    </row>
    <row r="217" spans="1:23" x14ac:dyDescent="0.25">
      <c r="B217" s="291" t="s">
        <v>598</v>
      </c>
      <c r="C217" t="s">
        <v>597</v>
      </c>
      <c r="D217" s="283">
        <v>211.32</v>
      </c>
      <c r="E217" s="283">
        <v>0</v>
      </c>
      <c r="G217" s="265">
        <v>0</v>
      </c>
      <c r="H217" s="265">
        <v>0</v>
      </c>
      <c r="I217" s="265">
        <v>38.67</v>
      </c>
      <c r="J217" s="265">
        <v>0</v>
      </c>
      <c r="K217" s="265">
        <v>0</v>
      </c>
      <c r="L217" s="265">
        <v>0</v>
      </c>
      <c r="M217" s="265">
        <v>0</v>
      </c>
      <c r="N217" s="265">
        <v>0</v>
      </c>
      <c r="O217" s="265">
        <v>0</v>
      </c>
      <c r="P217" s="265">
        <v>0</v>
      </c>
      <c r="Q217" s="265">
        <v>0</v>
      </c>
      <c r="R217" s="265">
        <v>0</v>
      </c>
      <c r="S217" s="265">
        <f t="shared" si="60"/>
        <v>38.67</v>
      </c>
      <c r="T217" s="265">
        <v>0</v>
      </c>
      <c r="U217" s="265">
        <f t="shared" si="61"/>
        <v>-38.67</v>
      </c>
      <c r="V217" s="262">
        <v>0</v>
      </c>
      <c r="W217" s="263"/>
    </row>
    <row r="218" spans="1:23" x14ac:dyDescent="0.25">
      <c r="B218" s="291" t="s">
        <v>596</v>
      </c>
      <c r="C218" t="s">
        <v>595</v>
      </c>
      <c r="D218" s="283">
        <v>1608.95</v>
      </c>
      <c r="E218" s="283">
        <v>2500</v>
      </c>
      <c r="G218" s="265">
        <v>0</v>
      </c>
      <c r="H218" s="265">
        <v>0</v>
      </c>
      <c r="I218" s="265">
        <v>86.22</v>
      </c>
      <c r="J218" s="265">
        <v>0</v>
      </c>
      <c r="K218" s="265">
        <v>0</v>
      </c>
      <c r="L218" s="265">
        <v>0</v>
      </c>
      <c r="M218" s="265">
        <v>0</v>
      </c>
      <c r="N218" s="265">
        <v>0</v>
      </c>
      <c r="O218" s="265">
        <v>0</v>
      </c>
      <c r="P218" s="265">
        <v>0</v>
      </c>
      <c r="Q218" s="265">
        <v>0</v>
      </c>
      <c r="R218" s="265">
        <v>0</v>
      </c>
      <c r="S218" s="265">
        <f t="shared" si="60"/>
        <v>86.22</v>
      </c>
      <c r="T218" s="265">
        <v>2500</v>
      </c>
      <c r="U218" s="265">
        <f t="shared" si="61"/>
        <v>2413.7800000000002</v>
      </c>
      <c r="V218" s="262">
        <f>S218/T218</f>
        <v>3.4487999999999998E-2</v>
      </c>
      <c r="W218" s="263"/>
    </row>
    <row r="219" spans="1:23" x14ac:dyDescent="0.25">
      <c r="B219" s="291" t="s">
        <v>594</v>
      </c>
      <c r="C219" t="s">
        <v>190</v>
      </c>
      <c r="D219" s="283">
        <v>400</v>
      </c>
      <c r="E219" s="283">
        <v>1100</v>
      </c>
      <c r="G219" s="265">
        <v>0</v>
      </c>
      <c r="H219" s="265">
        <v>0</v>
      </c>
      <c r="I219" s="265">
        <v>0</v>
      </c>
      <c r="J219" s="265">
        <v>262.49</v>
      </c>
      <c r="K219" s="265">
        <v>0</v>
      </c>
      <c r="L219" s="265">
        <v>0</v>
      </c>
      <c r="M219" s="265">
        <v>0</v>
      </c>
      <c r="N219" s="265">
        <v>0</v>
      </c>
      <c r="O219" s="265">
        <v>0</v>
      </c>
      <c r="P219" s="265">
        <v>0</v>
      </c>
      <c r="Q219" s="265">
        <v>0</v>
      </c>
      <c r="R219" s="265">
        <v>0</v>
      </c>
      <c r="S219" s="265">
        <f t="shared" si="60"/>
        <v>262.49</v>
      </c>
      <c r="T219" s="265">
        <v>1100</v>
      </c>
      <c r="U219" s="265">
        <f t="shared" si="61"/>
        <v>837.51</v>
      </c>
      <c r="V219" s="262">
        <f>S219/T219</f>
        <v>0.23862727272727274</v>
      </c>
      <c r="W219" s="263"/>
    </row>
    <row r="220" spans="1:23" x14ac:dyDescent="0.25">
      <c r="B220" s="291" t="s">
        <v>593</v>
      </c>
      <c r="C220" t="s">
        <v>306</v>
      </c>
      <c r="D220" s="283">
        <v>7683.16</v>
      </c>
      <c r="E220" s="283">
        <v>2500</v>
      </c>
      <c r="G220" s="265">
        <f>918.9-H220</f>
        <v>759.2</v>
      </c>
      <c r="H220" s="265">
        <v>159.69999999999999</v>
      </c>
      <c r="I220" s="265">
        <v>131.38999999999999</v>
      </c>
      <c r="J220" s="265">
        <v>129.66</v>
      </c>
      <c r="K220" s="265">
        <v>227.3</v>
      </c>
      <c r="L220" s="265">
        <v>311.98</v>
      </c>
      <c r="M220" s="265">
        <v>0</v>
      </c>
      <c r="N220" s="265">
        <v>0</v>
      </c>
      <c r="O220" s="265">
        <v>0</v>
      </c>
      <c r="P220" s="265">
        <v>0</v>
      </c>
      <c r="Q220" s="265">
        <v>0</v>
      </c>
      <c r="R220" s="265">
        <v>0</v>
      </c>
      <c r="S220" s="265">
        <f t="shared" si="60"/>
        <v>1719.23</v>
      </c>
      <c r="T220" s="265">
        <v>2500</v>
      </c>
      <c r="U220" s="265">
        <f t="shared" si="61"/>
        <v>780.77</v>
      </c>
      <c r="V220" s="262">
        <f>S220/T220</f>
        <v>0.68769199999999997</v>
      </c>
      <c r="W220" s="263"/>
    </row>
    <row r="221" spans="1:23" x14ac:dyDescent="0.25">
      <c r="B221" s="291" t="s">
        <v>592</v>
      </c>
      <c r="C221" t="s">
        <v>591</v>
      </c>
      <c r="D221" s="283">
        <v>46897.71</v>
      </c>
      <c r="E221" s="283">
        <v>70000</v>
      </c>
      <c r="G221" s="265">
        <v>0</v>
      </c>
      <c r="H221" s="265">
        <v>0</v>
      </c>
      <c r="I221" s="265">
        <v>0</v>
      </c>
      <c r="J221" s="265">
        <v>0</v>
      </c>
      <c r="K221" s="265">
        <v>0</v>
      </c>
      <c r="L221" s="265">
        <v>57366.81</v>
      </c>
      <c r="M221" s="265">
        <v>0</v>
      </c>
      <c r="N221" s="265">
        <v>0</v>
      </c>
      <c r="O221" s="265">
        <v>0</v>
      </c>
      <c r="P221" s="265">
        <v>0</v>
      </c>
      <c r="Q221" s="265">
        <v>0</v>
      </c>
      <c r="R221" s="265">
        <v>0</v>
      </c>
      <c r="S221" s="265">
        <f t="shared" si="60"/>
        <v>57366.81</v>
      </c>
      <c r="T221" s="265">
        <v>80000</v>
      </c>
      <c r="U221" s="265">
        <f t="shared" si="61"/>
        <v>22633.190000000002</v>
      </c>
      <c r="V221" s="262">
        <f>S221/T221</f>
        <v>0.71708512499999999</v>
      </c>
      <c r="W221" s="263"/>
    </row>
    <row r="222" spans="1:23" ht="15.75" thickBot="1" x14ac:dyDescent="0.3">
      <c r="B222" s="291"/>
      <c r="D222" s="363">
        <v>-156375.03</v>
      </c>
      <c r="E222" s="273">
        <f t="shared" ref="E222:U222" si="64">SUM(E202:E221)</f>
        <v>218246.03999999998</v>
      </c>
      <c r="F222" s="350"/>
      <c r="G222" s="273">
        <f t="shared" si="64"/>
        <v>368733.41</v>
      </c>
      <c r="H222" s="273">
        <f t="shared" si="64"/>
        <v>2936.8860611870064</v>
      </c>
      <c r="I222" s="273">
        <f t="shared" si="64"/>
        <v>4416.8500000000004</v>
      </c>
      <c r="J222" s="273">
        <f t="shared" si="64"/>
        <v>-325510.88964420604</v>
      </c>
      <c r="K222" s="273">
        <f t="shared" si="64"/>
        <v>1970.06</v>
      </c>
      <c r="L222" s="273">
        <f t="shared" si="64"/>
        <v>60515.909999999996</v>
      </c>
      <c r="M222" s="273">
        <f t="shared" si="64"/>
        <v>0</v>
      </c>
      <c r="N222" s="273">
        <f t="shared" si="64"/>
        <v>0</v>
      </c>
      <c r="O222" s="273">
        <f t="shared" si="64"/>
        <v>0</v>
      </c>
      <c r="P222" s="273">
        <f t="shared" si="64"/>
        <v>0</v>
      </c>
      <c r="Q222" s="273">
        <f t="shared" si="64"/>
        <v>0</v>
      </c>
      <c r="R222" s="273">
        <f t="shared" si="64"/>
        <v>0</v>
      </c>
      <c r="S222" s="273">
        <f t="shared" si="64"/>
        <v>113062.22641698099</v>
      </c>
      <c r="T222" s="273">
        <f t="shared" si="64"/>
        <v>207474.55</v>
      </c>
      <c r="U222" s="273">
        <f t="shared" si="64"/>
        <v>94412.32358301901</v>
      </c>
      <c r="V222" s="272">
        <f>S222/T222</f>
        <v>0.54494503743703027</v>
      </c>
      <c r="W222" s="263"/>
    </row>
    <row r="223" spans="1:23" ht="15.75" thickTop="1" x14ac:dyDescent="0.25">
      <c r="A223" t="s">
        <v>187</v>
      </c>
      <c r="B223" s="291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W223" s="263"/>
    </row>
    <row r="224" spans="1:23" x14ac:dyDescent="0.25">
      <c r="B224" s="291" t="s">
        <v>590</v>
      </c>
      <c r="C224" t="s">
        <v>185</v>
      </c>
      <c r="D224" s="283">
        <v>7914.15</v>
      </c>
      <c r="E224" s="283">
        <v>17219.2</v>
      </c>
      <c r="G224" s="265">
        <f>1286.24-H224</f>
        <v>637.6</v>
      </c>
      <c r="H224" s="265">
        <v>648.64</v>
      </c>
      <c r="I224" s="265">
        <v>643.12</v>
      </c>
      <c r="J224" s="265">
        <v>643.12</v>
      </c>
      <c r="K224" s="265">
        <v>643.12</v>
      </c>
      <c r="L224" s="265">
        <v>643.12</v>
      </c>
      <c r="M224" s="265">
        <v>0</v>
      </c>
      <c r="N224" s="265">
        <v>0</v>
      </c>
      <c r="O224" s="265">
        <v>0</v>
      </c>
      <c r="P224" s="265">
        <v>0</v>
      </c>
      <c r="Q224" s="265">
        <v>0</v>
      </c>
      <c r="R224" s="265">
        <v>0</v>
      </c>
      <c r="S224" s="265">
        <f t="shared" ref="S224:S228" si="65">SUM(G224:R224)</f>
        <v>3858.72</v>
      </c>
      <c r="T224" s="265">
        <v>17219.2</v>
      </c>
      <c r="U224" s="265">
        <f>T224-S224</f>
        <v>13360.480000000001</v>
      </c>
      <c r="V224" s="262">
        <f>S224/T224</f>
        <v>0.22409403456606578</v>
      </c>
      <c r="W224" s="263"/>
    </row>
    <row r="225" spans="1:23" x14ac:dyDescent="0.25">
      <c r="A225" t="s">
        <v>55</v>
      </c>
      <c r="B225" s="292" t="s">
        <v>918</v>
      </c>
      <c r="C225" t="s">
        <v>183</v>
      </c>
      <c r="D225" s="283">
        <v>655.25</v>
      </c>
      <c r="E225" s="283">
        <v>288</v>
      </c>
      <c r="G225" s="265">
        <v>41.05</v>
      </c>
      <c r="H225" s="265">
        <v>41.05</v>
      </c>
      <c r="I225" s="265">
        <v>41.05</v>
      </c>
      <c r="J225" s="265">
        <v>41.05</v>
      </c>
      <c r="K225" s="265">
        <v>41.05</v>
      </c>
      <c r="L225" s="265">
        <v>41.05</v>
      </c>
      <c r="M225" s="265">
        <v>0</v>
      </c>
      <c r="N225" s="265">
        <v>0</v>
      </c>
      <c r="O225" s="265">
        <v>0</v>
      </c>
      <c r="P225" s="265">
        <v>0</v>
      </c>
      <c r="Q225" s="265">
        <v>0</v>
      </c>
      <c r="R225" s="265">
        <v>0</v>
      </c>
      <c r="S225" s="265">
        <f t="shared" si="65"/>
        <v>246.3</v>
      </c>
      <c r="T225" s="265">
        <v>288</v>
      </c>
      <c r="U225" s="265">
        <f>T225-S225</f>
        <v>41.699999999999989</v>
      </c>
      <c r="V225" s="262">
        <f>S225/T225</f>
        <v>0.85520833333333335</v>
      </c>
      <c r="W225" s="263"/>
    </row>
    <row r="226" spans="1:23" x14ac:dyDescent="0.25">
      <c r="A226" t="s">
        <v>55</v>
      </c>
      <c r="B226" s="292" t="s">
        <v>919</v>
      </c>
      <c r="C226" t="s">
        <v>181</v>
      </c>
      <c r="D226" s="283">
        <v>139.94999999999999</v>
      </c>
      <c r="E226" s="283">
        <v>179.28</v>
      </c>
      <c r="G226" s="265">
        <v>7.47</v>
      </c>
      <c r="H226" s="265">
        <v>7.47</v>
      </c>
      <c r="I226" s="265">
        <v>0</v>
      </c>
      <c r="J226" s="265">
        <v>14.94</v>
      </c>
      <c r="K226" s="265">
        <v>0</v>
      </c>
      <c r="L226" s="265">
        <v>14.94</v>
      </c>
      <c r="M226" s="265">
        <v>0</v>
      </c>
      <c r="N226" s="265">
        <v>0</v>
      </c>
      <c r="O226" s="265">
        <v>0</v>
      </c>
      <c r="P226" s="265">
        <v>0</v>
      </c>
      <c r="Q226" s="265">
        <v>0</v>
      </c>
      <c r="R226" s="265">
        <v>0</v>
      </c>
      <c r="S226" s="265">
        <f t="shared" si="65"/>
        <v>44.82</v>
      </c>
      <c r="T226" s="265">
        <v>179.28</v>
      </c>
      <c r="U226" s="265">
        <f>T226-S226</f>
        <v>134.46</v>
      </c>
      <c r="V226" s="262">
        <f>S226/T226</f>
        <v>0.25</v>
      </c>
      <c r="W226" s="263"/>
    </row>
    <row r="227" spans="1:23" x14ac:dyDescent="0.25">
      <c r="A227" t="s">
        <v>55</v>
      </c>
      <c r="B227" s="292" t="s">
        <v>920</v>
      </c>
      <c r="C227" t="s">
        <v>179</v>
      </c>
      <c r="D227" s="283">
        <v>0</v>
      </c>
      <c r="E227" s="283">
        <v>589.91999999999996</v>
      </c>
      <c r="G227" s="265">
        <v>0</v>
      </c>
      <c r="H227" s="265">
        <v>0</v>
      </c>
      <c r="I227" s="265">
        <v>0</v>
      </c>
      <c r="J227" s="265">
        <v>0</v>
      </c>
      <c r="K227" s="265">
        <v>0</v>
      </c>
      <c r="L227" s="265">
        <v>0</v>
      </c>
      <c r="M227" s="265">
        <v>0</v>
      </c>
      <c r="N227" s="265">
        <v>0</v>
      </c>
      <c r="O227" s="265">
        <v>0</v>
      </c>
      <c r="P227" s="265">
        <v>0</v>
      </c>
      <c r="Q227" s="265">
        <v>0</v>
      </c>
      <c r="R227" s="265">
        <v>0</v>
      </c>
      <c r="S227" s="265">
        <f t="shared" si="65"/>
        <v>0</v>
      </c>
      <c r="T227" s="265">
        <v>589.91999999999996</v>
      </c>
      <c r="U227" s="265">
        <f>T227-S227</f>
        <v>589.91999999999996</v>
      </c>
      <c r="V227" s="262">
        <f>S227/T227</f>
        <v>0</v>
      </c>
      <c r="W227" s="263"/>
    </row>
    <row r="228" spans="1:23" x14ac:dyDescent="0.25">
      <c r="B228" s="291" t="s">
        <v>589</v>
      </c>
      <c r="C228" t="s">
        <v>177</v>
      </c>
      <c r="D228" s="283">
        <v>1776.86</v>
      </c>
      <c r="E228" s="283">
        <v>0</v>
      </c>
      <c r="G228" s="265">
        <v>0</v>
      </c>
      <c r="H228" s="265">
        <v>0</v>
      </c>
      <c r="I228" s="265">
        <v>0</v>
      </c>
      <c r="J228" s="265">
        <v>0</v>
      </c>
      <c r="K228" s="265">
        <v>0</v>
      </c>
      <c r="L228" s="265">
        <v>0</v>
      </c>
      <c r="M228" s="265">
        <v>0</v>
      </c>
      <c r="N228" s="265">
        <v>0</v>
      </c>
      <c r="O228" s="265">
        <v>0</v>
      </c>
      <c r="P228" s="265">
        <v>0</v>
      </c>
      <c r="Q228" s="265">
        <v>0</v>
      </c>
      <c r="R228" s="265">
        <v>0</v>
      </c>
      <c r="S228" s="265">
        <f t="shared" si="65"/>
        <v>0</v>
      </c>
      <c r="T228" s="265">
        <v>0</v>
      </c>
      <c r="U228" s="265">
        <f>T228-S228</f>
        <v>0</v>
      </c>
      <c r="V228" s="262">
        <v>0</v>
      </c>
      <c r="W228" s="263"/>
    </row>
    <row r="229" spans="1:23" ht="15.75" thickBot="1" x14ac:dyDescent="0.3">
      <c r="B229" s="292"/>
      <c r="D229" s="363">
        <v>10486.210000000001</v>
      </c>
      <c r="E229" s="273">
        <f t="shared" ref="E229:R229" si="66">SUM(E224:E228)</f>
        <v>18276.399999999998</v>
      </c>
      <c r="F229" s="350"/>
      <c r="G229" s="273">
        <f t="shared" si="66"/>
        <v>686.12</v>
      </c>
      <c r="H229" s="273">
        <f t="shared" si="66"/>
        <v>697.16</v>
      </c>
      <c r="I229" s="273">
        <f t="shared" si="66"/>
        <v>684.17</v>
      </c>
      <c r="J229" s="273">
        <f t="shared" si="66"/>
        <v>699.11</v>
      </c>
      <c r="K229" s="273">
        <f t="shared" si="66"/>
        <v>684.17</v>
      </c>
      <c r="L229" s="273">
        <f t="shared" si="66"/>
        <v>699.11</v>
      </c>
      <c r="M229" s="273">
        <f t="shared" si="66"/>
        <v>0</v>
      </c>
      <c r="N229" s="273">
        <f t="shared" si="66"/>
        <v>0</v>
      </c>
      <c r="O229" s="273">
        <f t="shared" si="66"/>
        <v>0</v>
      </c>
      <c r="P229" s="273">
        <f t="shared" si="66"/>
        <v>0</v>
      </c>
      <c r="Q229" s="273">
        <f t="shared" si="66"/>
        <v>0</v>
      </c>
      <c r="R229" s="273">
        <f t="shared" si="66"/>
        <v>0</v>
      </c>
      <c r="S229" s="273">
        <f>SUM(S224:S228)</f>
        <v>4149.8399999999992</v>
      </c>
      <c r="T229" s="273">
        <f>SUM(T224:T228)</f>
        <v>18276.399999999998</v>
      </c>
      <c r="U229" s="273">
        <f>SUM(U224:U228)</f>
        <v>14126.560000000001</v>
      </c>
      <c r="V229" s="272">
        <f>S229/T229</f>
        <v>0.22706003370466829</v>
      </c>
    </row>
    <row r="230" spans="1:23" ht="15.75" thickTop="1" x14ac:dyDescent="0.25">
      <c r="A230" t="s">
        <v>174</v>
      </c>
      <c r="B230" s="292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W230" s="263"/>
    </row>
    <row r="231" spans="1:23" ht="15.75" thickBot="1" x14ac:dyDescent="0.3">
      <c r="B231" s="291" t="s">
        <v>588</v>
      </c>
      <c r="C231" t="s">
        <v>587</v>
      </c>
      <c r="D231" s="283">
        <v>12289.49</v>
      </c>
      <c r="E231" s="283">
        <v>4500</v>
      </c>
      <c r="G231" s="273">
        <f>1163.87-H231</f>
        <v>308.49999999999989</v>
      </c>
      <c r="H231" s="273">
        <v>855.37</v>
      </c>
      <c r="I231" s="273">
        <v>249.6</v>
      </c>
      <c r="J231" s="273">
        <v>507.71</v>
      </c>
      <c r="K231" s="273">
        <f>350.73+249.6</f>
        <v>600.33000000000004</v>
      </c>
      <c r="L231" s="273">
        <v>329.56</v>
      </c>
      <c r="M231" s="273">
        <v>0</v>
      </c>
      <c r="N231" s="273">
        <v>0</v>
      </c>
      <c r="O231" s="273">
        <v>0</v>
      </c>
      <c r="P231" s="273">
        <v>0</v>
      </c>
      <c r="Q231" s="273">
        <v>0</v>
      </c>
      <c r="R231" s="273">
        <v>0</v>
      </c>
      <c r="S231" s="273">
        <f t="shared" ref="S231" si="67">SUM(G231:R231)</f>
        <v>2851.0699999999997</v>
      </c>
      <c r="T231" s="273">
        <v>12500</v>
      </c>
      <c r="U231" s="273">
        <f>T231-S231</f>
        <v>9648.93</v>
      </c>
      <c r="V231" s="272">
        <f>S231/T231</f>
        <v>0.22808559999999997</v>
      </c>
      <c r="W231" s="263"/>
    </row>
    <row r="232" spans="1:23" ht="15.75" thickTop="1" x14ac:dyDescent="0.25">
      <c r="B232" s="292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</row>
    <row r="233" spans="1:23" x14ac:dyDescent="0.25">
      <c r="A233" t="s">
        <v>145</v>
      </c>
      <c r="B233" s="292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W233" s="263"/>
    </row>
    <row r="234" spans="1:23" x14ac:dyDescent="0.25">
      <c r="A234" s="289"/>
      <c r="B234" s="291" t="s">
        <v>586</v>
      </c>
      <c r="C234" t="s">
        <v>270</v>
      </c>
      <c r="D234" s="283">
        <v>25314.62</v>
      </c>
      <c r="E234" s="283">
        <v>10000</v>
      </c>
      <c r="G234" s="265">
        <f>2286.63-H234+146.85</f>
        <v>1527.5900000000001</v>
      </c>
      <c r="H234" s="265">
        <f>759.04+146.85</f>
        <v>905.89</v>
      </c>
      <c r="I234" s="265">
        <v>764.01</v>
      </c>
      <c r="J234" s="265">
        <v>764.01</v>
      </c>
      <c r="K234" s="265">
        <v>2763.49</v>
      </c>
      <c r="L234" s="265">
        <v>610</v>
      </c>
      <c r="M234" s="265">
        <v>0</v>
      </c>
      <c r="N234" s="265">
        <v>0</v>
      </c>
      <c r="O234" s="265">
        <v>0</v>
      </c>
      <c r="P234" s="265">
        <v>0</v>
      </c>
      <c r="Q234" s="265">
        <v>0</v>
      </c>
      <c r="R234" s="265">
        <v>0</v>
      </c>
      <c r="S234" s="265">
        <f t="shared" ref="S234:S235" si="68">SUM(G234:R234)</f>
        <v>7334.99</v>
      </c>
      <c r="T234" s="265">
        <v>16666.669999999998</v>
      </c>
      <c r="U234" s="265">
        <f>T234-S234</f>
        <v>9331.6799999999985</v>
      </c>
      <c r="V234" s="262">
        <f>S234/T234</f>
        <v>0.44009931198013763</v>
      </c>
      <c r="W234" s="263"/>
    </row>
    <row r="235" spans="1:23" x14ac:dyDescent="0.25">
      <c r="A235" s="289"/>
      <c r="B235" s="291" t="s">
        <v>585</v>
      </c>
      <c r="C235" t="s">
        <v>584</v>
      </c>
      <c r="D235" s="283">
        <v>375</v>
      </c>
      <c r="E235" s="283">
        <v>23100</v>
      </c>
      <c r="G235" s="265">
        <v>0</v>
      </c>
      <c r="H235" s="265">
        <v>0</v>
      </c>
      <c r="I235" s="265">
        <v>0</v>
      </c>
      <c r="J235" s="265">
        <v>245</v>
      </c>
      <c r="K235" s="265">
        <v>0</v>
      </c>
      <c r="L235" s="265">
        <v>0</v>
      </c>
      <c r="M235" s="265">
        <v>0</v>
      </c>
      <c r="N235" s="265">
        <v>0</v>
      </c>
      <c r="O235" s="265">
        <v>0</v>
      </c>
      <c r="P235" s="265">
        <v>0</v>
      </c>
      <c r="Q235" s="265">
        <v>0</v>
      </c>
      <c r="R235" s="265">
        <v>0</v>
      </c>
      <c r="S235" s="265">
        <f t="shared" si="68"/>
        <v>245</v>
      </c>
      <c r="T235" s="265">
        <v>500</v>
      </c>
      <c r="U235" s="265">
        <f>T235-S235</f>
        <v>255</v>
      </c>
      <c r="V235" s="262">
        <f>S235/T235</f>
        <v>0.49</v>
      </c>
      <c r="W235" s="263"/>
    </row>
    <row r="236" spans="1:23" ht="15.75" thickBot="1" x14ac:dyDescent="0.3">
      <c r="B236" s="292"/>
      <c r="D236" s="363">
        <v>25689.62</v>
      </c>
      <c r="E236" s="273">
        <v>33100</v>
      </c>
      <c r="F236" s="350"/>
      <c r="G236" s="273">
        <f t="shared" ref="G236:P236" si="69">SUM(G234:G235)</f>
        <v>1527.5900000000001</v>
      </c>
      <c r="H236" s="273">
        <f t="shared" si="69"/>
        <v>905.89</v>
      </c>
      <c r="I236" s="273">
        <f t="shared" si="69"/>
        <v>764.01</v>
      </c>
      <c r="J236" s="273">
        <f t="shared" si="69"/>
        <v>1009.01</v>
      </c>
      <c r="K236" s="273">
        <f t="shared" si="69"/>
        <v>2763.49</v>
      </c>
      <c r="L236" s="273">
        <f t="shared" si="69"/>
        <v>610</v>
      </c>
      <c r="M236" s="273">
        <f t="shared" si="69"/>
        <v>0</v>
      </c>
      <c r="N236" s="273">
        <f t="shared" si="69"/>
        <v>0</v>
      </c>
      <c r="O236" s="273">
        <f t="shared" si="69"/>
        <v>0</v>
      </c>
      <c r="P236" s="273">
        <f t="shared" si="69"/>
        <v>0</v>
      </c>
      <c r="Q236" s="273">
        <f t="shared" ref="Q236" si="70">SUM(Q234:Q235)</f>
        <v>0</v>
      </c>
      <c r="R236" s="273">
        <f t="shared" ref="R236" si="71">SUM(R234:R235)</f>
        <v>0</v>
      </c>
      <c r="S236" s="273">
        <f>SUM(S234:S235)</f>
        <v>7579.99</v>
      </c>
      <c r="T236" s="273">
        <f>SUM(T234:T235)</f>
        <v>17166.669999999998</v>
      </c>
      <c r="U236" s="273">
        <f>SUM(U234:U235)</f>
        <v>9586.6799999999985</v>
      </c>
      <c r="V236" s="272">
        <f>S236/T236</f>
        <v>0.44155272979558646</v>
      </c>
      <c r="W236" s="263"/>
    </row>
    <row r="237" spans="1:23" ht="15.75" thickTop="1" x14ac:dyDescent="0.25">
      <c r="B237" s="292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4"/>
      <c r="W237" s="263"/>
    </row>
    <row r="238" spans="1:23" ht="17.25" x14ac:dyDescent="0.3">
      <c r="B238" s="292"/>
      <c r="C238" s="271" t="s">
        <v>583</v>
      </c>
      <c r="D238" s="380">
        <f>D236+D231+D229+D200+D222</f>
        <v>58590.450000000012</v>
      </c>
      <c r="E238" s="270">
        <f>E236+E231+E229+E200+E222</f>
        <v>489450.44</v>
      </c>
      <c r="F238" s="355"/>
      <c r="G238" s="270">
        <f t="shared" ref="G238:U238" si="72">G236+G231+G229+G200+G222</f>
        <v>396067.94999999995</v>
      </c>
      <c r="H238" s="270">
        <f t="shared" si="72"/>
        <v>25111.00606118701</v>
      </c>
      <c r="I238" s="270">
        <f t="shared" si="72"/>
        <v>27162.78</v>
      </c>
      <c r="J238" s="270">
        <f t="shared" si="72"/>
        <v>-310369.91964420601</v>
      </c>
      <c r="K238" s="270">
        <f t="shared" si="72"/>
        <v>23880.69</v>
      </c>
      <c r="L238" s="270">
        <f t="shared" si="72"/>
        <v>75489.75</v>
      </c>
      <c r="M238" s="270">
        <f t="shared" si="72"/>
        <v>0</v>
      </c>
      <c r="N238" s="270">
        <f t="shared" si="72"/>
        <v>0</v>
      </c>
      <c r="O238" s="270">
        <f t="shared" si="72"/>
        <v>0</v>
      </c>
      <c r="P238" s="270">
        <f t="shared" si="72"/>
        <v>0</v>
      </c>
      <c r="Q238" s="270">
        <f t="shared" si="72"/>
        <v>0</v>
      </c>
      <c r="R238" s="270">
        <f t="shared" si="72"/>
        <v>0</v>
      </c>
      <c r="S238" s="270">
        <f t="shared" si="72"/>
        <v>237342.25641698099</v>
      </c>
      <c r="T238" s="270">
        <f t="shared" si="72"/>
        <v>466680.56</v>
      </c>
      <c r="U238" s="270">
        <f t="shared" si="72"/>
        <v>229338.30358301901</v>
      </c>
      <c r="V238" s="269">
        <f>S238/T238</f>
        <v>0.50857540844851346</v>
      </c>
      <c r="W238" s="263"/>
    </row>
    <row r="239" spans="1:23" x14ac:dyDescent="0.25">
      <c r="B239" s="292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</row>
    <row r="240" spans="1:23" ht="15.75" thickBot="1" x14ac:dyDescent="0.3">
      <c r="B240" s="292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</row>
    <row r="241" spans="1:23" ht="15.75" thickBot="1" x14ac:dyDescent="0.3">
      <c r="A241" s="13" t="s">
        <v>582</v>
      </c>
      <c r="B241" s="292"/>
      <c r="G241" s="387" t="s">
        <v>253</v>
      </c>
      <c r="H241" s="388"/>
      <c r="I241" s="388"/>
      <c r="J241" s="388"/>
      <c r="K241" s="388"/>
      <c r="L241" s="388"/>
      <c r="M241" s="388"/>
      <c r="N241" s="388"/>
      <c r="O241" s="388"/>
      <c r="P241" s="388"/>
      <c r="Q241" s="388"/>
      <c r="R241" s="388"/>
      <c r="S241" s="389"/>
      <c r="T241" s="265"/>
      <c r="U241" s="280" t="s">
        <v>252</v>
      </c>
    </row>
    <row r="242" spans="1:23" x14ac:dyDescent="0.25">
      <c r="A242" t="s">
        <v>251</v>
      </c>
      <c r="B242" s="292"/>
      <c r="D242" s="361" t="s">
        <v>954</v>
      </c>
      <c r="E242" s="373" t="s">
        <v>956</v>
      </c>
      <c r="G242" s="279" t="s">
        <v>868</v>
      </c>
      <c r="H242" s="279" t="s">
        <v>869</v>
      </c>
      <c r="I242" s="279" t="s">
        <v>870</v>
      </c>
      <c r="J242" s="279" t="s">
        <v>871</v>
      </c>
      <c r="K242" s="279" t="s">
        <v>872</v>
      </c>
      <c r="L242" s="279" t="s">
        <v>873</v>
      </c>
      <c r="M242" s="279" t="s">
        <v>874</v>
      </c>
      <c r="N242" s="279" t="s">
        <v>875</v>
      </c>
      <c r="O242" s="279" t="s">
        <v>876</v>
      </c>
      <c r="P242" s="279" t="s">
        <v>877</v>
      </c>
      <c r="Q242" s="279" t="s">
        <v>878</v>
      </c>
      <c r="R242" s="279" t="s">
        <v>879</v>
      </c>
      <c r="S242" s="310" t="s">
        <v>250</v>
      </c>
      <c r="T242" s="309" t="s">
        <v>880</v>
      </c>
      <c r="U242" s="277" t="s">
        <v>249</v>
      </c>
      <c r="V242" s="276" t="s">
        <v>248</v>
      </c>
      <c r="W242" s="263"/>
    </row>
    <row r="243" spans="1:23" ht="15.75" thickBot="1" x14ac:dyDescent="0.3">
      <c r="A243" s="289"/>
      <c r="B243" s="291" t="s">
        <v>581</v>
      </c>
      <c r="C243" t="s">
        <v>580</v>
      </c>
      <c r="D243" s="283">
        <v>38231.040000000001</v>
      </c>
      <c r="E243" s="283">
        <v>32051</v>
      </c>
      <c r="G243" s="273">
        <v>3320.9199999999996</v>
      </c>
      <c r="H243" s="273">
        <v>2792.81</v>
      </c>
      <c r="I243" s="273">
        <v>2670.92</v>
      </c>
      <c r="J243" s="273">
        <v>2995.92</v>
      </c>
      <c r="K243" s="273">
        <v>3320.92</v>
      </c>
      <c r="L243" s="273">
        <v>2923.42</v>
      </c>
      <c r="M243" s="273">
        <v>0</v>
      </c>
      <c r="N243" s="273">
        <v>0</v>
      </c>
      <c r="O243" s="273">
        <v>0</v>
      </c>
      <c r="P243" s="273">
        <v>0</v>
      </c>
      <c r="Q243" s="273">
        <v>0</v>
      </c>
      <c r="R243" s="273">
        <v>0</v>
      </c>
      <c r="S243" s="273">
        <f>SUM(G243:R243)</f>
        <v>18024.91</v>
      </c>
      <c r="T243" s="273">
        <v>32051</v>
      </c>
      <c r="U243" s="273">
        <f>T243-S243</f>
        <v>14026.09</v>
      </c>
      <c r="V243" s="272">
        <f>S243/T243</f>
        <v>0.56238214096284045</v>
      </c>
    </row>
    <row r="244" spans="1:23" ht="15.75" thickTop="1" x14ac:dyDescent="0.25">
      <c r="B244" s="292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</row>
    <row r="245" spans="1:23" x14ac:dyDescent="0.25">
      <c r="A245" t="s">
        <v>231</v>
      </c>
      <c r="B245" s="292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W245" s="263"/>
    </row>
    <row r="246" spans="1:23" x14ac:dyDescent="0.25">
      <c r="A246" s="289"/>
      <c r="B246" s="291" t="s">
        <v>579</v>
      </c>
      <c r="C246" t="s">
        <v>578</v>
      </c>
      <c r="D246" s="283">
        <v>0</v>
      </c>
      <c r="E246" s="283">
        <v>5000</v>
      </c>
      <c r="G246" s="265">
        <v>0</v>
      </c>
      <c r="H246" s="265">
        <v>0</v>
      </c>
      <c r="I246" s="265">
        <v>0</v>
      </c>
      <c r="J246" s="265">
        <v>0</v>
      </c>
      <c r="K246" s="265">
        <v>0</v>
      </c>
      <c r="L246" s="265">
        <v>0</v>
      </c>
      <c r="M246" s="265">
        <v>0</v>
      </c>
      <c r="N246" s="265">
        <v>0</v>
      </c>
      <c r="O246" s="265">
        <v>0</v>
      </c>
      <c r="P246" s="265">
        <v>0</v>
      </c>
      <c r="Q246" s="265">
        <v>0</v>
      </c>
      <c r="R246" s="265">
        <v>0</v>
      </c>
      <c r="S246" s="265">
        <f>SUM(G246:R246)</f>
        <v>0</v>
      </c>
      <c r="T246" s="265">
        <v>5000</v>
      </c>
      <c r="U246" s="265">
        <f>T246-S246</f>
        <v>5000</v>
      </c>
      <c r="V246" s="262">
        <f>S246/T246</f>
        <v>0</v>
      </c>
      <c r="W246" s="263"/>
    </row>
    <row r="247" spans="1:23" x14ac:dyDescent="0.25">
      <c r="A247" s="289"/>
      <c r="B247" s="291" t="s">
        <v>577</v>
      </c>
      <c r="C247" t="s">
        <v>221</v>
      </c>
      <c r="D247" s="283">
        <v>2165</v>
      </c>
      <c r="E247" s="283">
        <v>0</v>
      </c>
      <c r="G247" s="265">
        <v>0</v>
      </c>
      <c r="H247" s="265">
        <v>0</v>
      </c>
      <c r="I247" s="265">
        <v>0</v>
      </c>
      <c r="J247" s="265">
        <v>0</v>
      </c>
      <c r="K247" s="265">
        <v>0</v>
      </c>
      <c r="L247" s="265">
        <v>0</v>
      </c>
      <c r="M247" s="265">
        <v>0</v>
      </c>
      <c r="N247" s="265">
        <v>0</v>
      </c>
      <c r="O247" s="265">
        <v>0</v>
      </c>
      <c r="P247" s="265">
        <v>0</v>
      </c>
      <c r="Q247" s="265">
        <v>0</v>
      </c>
      <c r="R247" s="265">
        <v>0</v>
      </c>
      <c r="S247" s="265">
        <f>SUM(G247:R247)</f>
        <v>0</v>
      </c>
      <c r="T247" s="265">
        <v>0</v>
      </c>
      <c r="U247" s="265">
        <f>T247-S247</f>
        <v>0</v>
      </c>
      <c r="V247" s="262">
        <v>0</v>
      </c>
      <c r="W247" s="263"/>
    </row>
    <row r="248" spans="1:23" x14ac:dyDescent="0.25">
      <c r="A248" s="289"/>
      <c r="B248" s="291" t="s">
        <v>576</v>
      </c>
      <c r="C248" t="s">
        <v>333</v>
      </c>
      <c r="D248" s="283">
        <v>2431.6999999999998</v>
      </c>
      <c r="E248" s="283">
        <v>1918.03</v>
      </c>
      <c r="G248" s="265">
        <v>0</v>
      </c>
      <c r="H248" s="265">
        <v>0</v>
      </c>
      <c r="I248" s="265">
        <v>0</v>
      </c>
      <c r="J248" s="265">
        <v>714.17486955687127</v>
      </c>
      <c r="K248" s="265">
        <v>0</v>
      </c>
      <c r="L248" s="265">
        <v>0</v>
      </c>
      <c r="M248" s="265">
        <v>0</v>
      </c>
      <c r="N248" s="265">
        <v>0</v>
      </c>
      <c r="O248" s="265">
        <v>0</v>
      </c>
      <c r="P248" s="265">
        <v>0</v>
      </c>
      <c r="Q248" s="265">
        <v>0</v>
      </c>
      <c r="R248" s="265">
        <v>0</v>
      </c>
      <c r="S248" s="265">
        <f>SUM(G248:R248)</f>
        <v>714.17486955687127</v>
      </c>
      <c r="T248" s="265">
        <v>1918.03</v>
      </c>
      <c r="U248" s="265">
        <f>T248-S248</f>
        <v>1203.8551304431287</v>
      </c>
      <c r="V248" s="262">
        <f>S248/T248</f>
        <v>0.37234812258247851</v>
      </c>
      <c r="W248" s="263"/>
    </row>
    <row r="249" spans="1:23" x14ac:dyDescent="0.25">
      <c r="A249" s="289"/>
      <c r="B249" s="291" t="s">
        <v>575</v>
      </c>
      <c r="C249" t="s">
        <v>329</v>
      </c>
      <c r="D249" s="283">
        <v>29974.35</v>
      </c>
      <c r="E249" s="283">
        <v>50000</v>
      </c>
      <c r="G249" s="265">
        <v>4885.16</v>
      </c>
      <c r="H249" s="265">
        <f>1081.44+830.04</f>
        <v>1911.48</v>
      </c>
      <c r="I249" s="265">
        <v>1913.8400000000001</v>
      </c>
      <c r="J249" s="265">
        <v>729.93</v>
      </c>
      <c r="K249" s="265">
        <v>1654.0900000000001</v>
      </c>
      <c r="L249" s="265">
        <v>762.27</v>
      </c>
      <c r="M249" s="265">
        <v>0</v>
      </c>
      <c r="N249" s="265">
        <v>0</v>
      </c>
      <c r="O249" s="265">
        <v>0</v>
      </c>
      <c r="P249" s="265">
        <v>0</v>
      </c>
      <c r="Q249" s="265">
        <v>0</v>
      </c>
      <c r="R249" s="265">
        <v>0</v>
      </c>
      <c r="S249" s="265">
        <f>SUM(G249:R249)</f>
        <v>11856.77</v>
      </c>
      <c r="T249" s="265">
        <v>22000</v>
      </c>
      <c r="U249" s="265">
        <f>T249-S249</f>
        <v>10143.23</v>
      </c>
      <c r="V249" s="262">
        <f>S249/T249</f>
        <v>0.5389440909090909</v>
      </c>
      <c r="W249" s="263"/>
    </row>
    <row r="250" spans="1:23" x14ac:dyDescent="0.25">
      <c r="A250" s="289"/>
      <c r="B250" s="291" t="s">
        <v>574</v>
      </c>
      <c r="C250" t="s">
        <v>573</v>
      </c>
      <c r="D250" s="283">
        <v>28838.95</v>
      </c>
      <c r="E250" s="283">
        <v>30000</v>
      </c>
      <c r="G250" s="265">
        <v>8270</v>
      </c>
      <c r="H250" s="265">
        <f>3470+3070</f>
        <v>6540</v>
      </c>
      <c r="I250" s="265">
        <v>5000</v>
      </c>
      <c r="J250" s="265">
        <v>5000</v>
      </c>
      <c r="K250" s="265">
        <v>5375</v>
      </c>
      <c r="L250" s="265">
        <v>6900</v>
      </c>
      <c r="M250" s="265">
        <v>0</v>
      </c>
      <c r="N250" s="265">
        <v>0</v>
      </c>
      <c r="O250" s="265">
        <v>0</v>
      </c>
      <c r="P250" s="265">
        <v>0</v>
      </c>
      <c r="Q250" s="265">
        <v>0</v>
      </c>
      <c r="R250" s="265">
        <v>0</v>
      </c>
      <c r="S250" s="265">
        <f>SUM(G250:R250)</f>
        <v>37085</v>
      </c>
      <c r="T250" s="265">
        <v>30000</v>
      </c>
      <c r="U250" s="265">
        <f>T250-S250</f>
        <v>-7085</v>
      </c>
      <c r="V250" s="262">
        <f>S250/T250</f>
        <v>1.2361666666666666</v>
      </c>
      <c r="W250" s="263"/>
    </row>
    <row r="251" spans="1:23" ht="15.75" thickBot="1" x14ac:dyDescent="0.3">
      <c r="B251" s="292"/>
      <c r="D251" s="363">
        <v>63410</v>
      </c>
      <c r="E251" s="273">
        <v>86918.03</v>
      </c>
      <c r="F251" s="350"/>
      <c r="G251" s="273">
        <f t="shared" ref="G251:P251" si="73">SUM(G246:G250)</f>
        <v>13155.16</v>
      </c>
      <c r="H251" s="273">
        <f t="shared" si="73"/>
        <v>8451.48</v>
      </c>
      <c r="I251" s="273">
        <f t="shared" si="73"/>
        <v>6913.84</v>
      </c>
      <c r="J251" s="273">
        <f t="shared" si="73"/>
        <v>6444.1048695568716</v>
      </c>
      <c r="K251" s="273">
        <f t="shared" si="73"/>
        <v>7029.09</v>
      </c>
      <c r="L251" s="273">
        <f t="shared" si="73"/>
        <v>7662.27</v>
      </c>
      <c r="M251" s="273">
        <f t="shared" si="73"/>
        <v>0</v>
      </c>
      <c r="N251" s="273">
        <f t="shared" si="73"/>
        <v>0</v>
      </c>
      <c r="O251" s="273">
        <f t="shared" si="73"/>
        <v>0</v>
      </c>
      <c r="P251" s="273">
        <f t="shared" si="73"/>
        <v>0</v>
      </c>
      <c r="Q251" s="273">
        <f t="shared" ref="Q251" si="74">SUM(Q246:Q250)</f>
        <v>0</v>
      </c>
      <c r="R251" s="273">
        <f t="shared" ref="R251" si="75">SUM(R246:R250)</f>
        <v>0</v>
      </c>
      <c r="S251" s="273">
        <f>SUM(S246:S250)</f>
        <v>49655.944869556872</v>
      </c>
      <c r="T251" s="273">
        <f>SUM(T246:T250)</f>
        <v>58918.03</v>
      </c>
      <c r="U251" s="273">
        <f>SUM(U246:U250)</f>
        <v>9262.0851304431271</v>
      </c>
      <c r="V251" s="272">
        <f>S251/T251</f>
        <v>0.84279710081204129</v>
      </c>
      <c r="W251" s="263"/>
    </row>
    <row r="252" spans="1:23" ht="15.75" thickTop="1" x14ac:dyDescent="0.25">
      <c r="B252" s="292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W252" s="263"/>
    </row>
    <row r="253" spans="1:23" x14ac:dyDescent="0.25">
      <c r="A253" t="s">
        <v>187</v>
      </c>
      <c r="B253" s="292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W253" s="263"/>
    </row>
    <row r="254" spans="1:23" x14ac:dyDescent="0.25">
      <c r="A254" s="289"/>
      <c r="B254" s="291" t="s">
        <v>572</v>
      </c>
      <c r="C254" t="s">
        <v>185</v>
      </c>
      <c r="D254" s="283">
        <v>15037.56</v>
      </c>
      <c r="E254" s="283">
        <v>16490.52</v>
      </c>
      <c r="G254" s="265">
        <v>1381.24</v>
      </c>
      <c r="H254" s="265">
        <v>1386.76</v>
      </c>
      <c r="I254" s="265">
        <v>1384</v>
      </c>
      <c r="J254" s="265">
        <v>1384</v>
      </c>
      <c r="K254" s="265">
        <v>1383.8299999999992</v>
      </c>
      <c r="L254" s="265">
        <v>1384</v>
      </c>
      <c r="M254" s="265">
        <v>0</v>
      </c>
      <c r="N254" s="265">
        <v>0</v>
      </c>
      <c r="O254" s="265">
        <v>0</v>
      </c>
      <c r="P254" s="265">
        <v>0</v>
      </c>
      <c r="Q254" s="265">
        <v>0</v>
      </c>
      <c r="R254" s="265">
        <v>0</v>
      </c>
      <c r="S254" s="265">
        <f>SUM(G254:R254)</f>
        <v>8303.8299999999981</v>
      </c>
      <c r="T254" s="265">
        <v>16490.52</v>
      </c>
      <c r="U254" s="265">
        <f>T254-S254</f>
        <v>8186.6900000000023</v>
      </c>
      <c r="V254" s="262">
        <f>S254/T254</f>
        <v>0.5035517376043932</v>
      </c>
      <c r="W254" s="263"/>
    </row>
    <row r="255" spans="1:23" x14ac:dyDescent="0.25">
      <c r="A255" t="s">
        <v>55</v>
      </c>
      <c r="B255" s="292" t="s">
        <v>921</v>
      </c>
      <c r="C255" t="s">
        <v>183</v>
      </c>
      <c r="D255" s="283">
        <v>923.84</v>
      </c>
      <c r="E255" s="283">
        <v>72</v>
      </c>
      <c r="G255" s="265">
        <v>78.709999999999994</v>
      </c>
      <c r="H255" s="265">
        <v>78.709999999999994</v>
      </c>
      <c r="I255" s="265">
        <v>78.709999999999994</v>
      </c>
      <c r="J255" s="265">
        <v>77.08</v>
      </c>
      <c r="K255" s="265">
        <v>77.08</v>
      </c>
      <c r="L255" s="265">
        <v>77.08</v>
      </c>
      <c r="M255" s="265">
        <v>0</v>
      </c>
      <c r="N255" s="265">
        <v>0</v>
      </c>
      <c r="O255" s="265">
        <v>0</v>
      </c>
      <c r="P255" s="265">
        <v>0</v>
      </c>
      <c r="Q255" s="265">
        <v>0</v>
      </c>
      <c r="R255" s="265">
        <v>0</v>
      </c>
      <c r="S255" s="265">
        <f>SUM(G255:R255)</f>
        <v>467.36999999999995</v>
      </c>
      <c r="T255" s="265">
        <v>72</v>
      </c>
      <c r="U255" s="265">
        <f>T255-S255</f>
        <v>-395.36999999999995</v>
      </c>
      <c r="V255" s="262">
        <f>S255/T255</f>
        <v>6.4912499999999991</v>
      </c>
      <c r="W255" s="263"/>
    </row>
    <row r="256" spans="1:23" x14ac:dyDescent="0.25">
      <c r="A256" t="s">
        <v>55</v>
      </c>
      <c r="B256" s="292" t="s">
        <v>922</v>
      </c>
      <c r="C256" t="s">
        <v>181</v>
      </c>
      <c r="D256" s="283">
        <v>175.28</v>
      </c>
      <c r="E256" s="283">
        <v>170.52</v>
      </c>
      <c r="G256" s="265">
        <v>14.21</v>
      </c>
      <c r="H256" s="265">
        <v>14.21</v>
      </c>
      <c r="I256" s="265">
        <v>0</v>
      </c>
      <c r="J256" s="265">
        <v>28.42</v>
      </c>
      <c r="K256" s="265">
        <v>0</v>
      </c>
      <c r="L256" s="265">
        <v>28.42</v>
      </c>
      <c r="M256" s="265">
        <v>0</v>
      </c>
      <c r="N256" s="265">
        <v>0</v>
      </c>
      <c r="O256" s="265">
        <v>0</v>
      </c>
      <c r="P256" s="265">
        <v>0</v>
      </c>
      <c r="Q256" s="265">
        <v>0</v>
      </c>
      <c r="R256" s="265">
        <v>0</v>
      </c>
      <c r="S256" s="265">
        <f>SUM(G256:R256)</f>
        <v>85.26</v>
      </c>
      <c r="T256" s="265">
        <v>170.52</v>
      </c>
      <c r="U256" s="265">
        <f>T256-S256</f>
        <v>85.26</v>
      </c>
      <c r="V256" s="262">
        <f>S256/T256</f>
        <v>0.5</v>
      </c>
      <c r="W256" s="263"/>
    </row>
    <row r="257" spans="1:23" x14ac:dyDescent="0.25">
      <c r="A257" t="s">
        <v>55</v>
      </c>
      <c r="B257" s="292" t="s">
        <v>571</v>
      </c>
      <c r="C257" t="s">
        <v>179</v>
      </c>
      <c r="D257" s="283">
        <v>0</v>
      </c>
      <c r="E257" s="283">
        <v>810.6</v>
      </c>
      <c r="G257" s="265">
        <v>0</v>
      </c>
      <c r="H257" s="265">
        <v>0</v>
      </c>
      <c r="I257" s="265">
        <v>0</v>
      </c>
      <c r="J257" s="265">
        <v>0</v>
      </c>
      <c r="K257" s="265">
        <v>0</v>
      </c>
      <c r="L257" s="265">
        <v>0</v>
      </c>
      <c r="M257" s="265">
        <v>0</v>
      </c>
      <c r="N257" s="265">
        <v>0</v>
      </c>
      <c r="O257" s="265">
        <v>0</v>
      </c>
      <c r="P257" s="265">
        <v>0</v>
      </c>
      <c r="Q257" s="265">
        <v>0</v>
      </c>
      <c r="R257" s="265">
        <v>0</v>
      </c>
      <c r="S257" s="265">
        <f>SUM(G257:R257)</f>
        <v>0</v>
      </c>
      <c r="T257" s="265">
        <v>810.6</v>
      </c>
      <c r="U257" s="265">
        <f>T257-S257</f>
        <v>810.6</v>
      </c>
      <c r="V257" s="262">
        <f>S257/T257</f>
        <v>0</v>
      </c>
      <c r="W257" s="263"/>
    </row>
    <row r="258" spans="1:23" ht="15.75" thickBot="1" x14ac:dyDescent="0.3">
      <c r="B258" s="292"/>
      <c r="D258" s="363">
        <v>16136.68</v>
      </c>
      <c r="E258" s="273">
        <f t="shared" ref="E258:P258" si="76">SUM(E254:E257)</f>
        <v>17543.64</v>
      </c>
      <c r="F258" s="350"/>
      <c r="G258" s="273">
        <f t="shared" si="76"/>
        <v>1474.16</v>
      </c>
      <c r="H258" s="273">
        <f t="shared" si="76"/>
        <v>1479.68</v>
      </c>
      <c r="I258" s="273">
        <f t="shared" si="76"/>
        <v>1462.71</v>
      </c>
      <c r="J258" s="273">
        <f t="shared" si="76"/>
        <v>1489.5</v>
      </c>
      <c r="K258" s="273">
        <f t="shared" si="76"/>
        <v>1460.9099999999992</v>
      </c>
      <c r="L258" s="273">
        <f t="shared" si="76"/>
        <v>1489.5</v>
      </c>
      <c r="M258" s="273">
        <f t="shared" si="76"/>
        <v>0</v>
      </c>
      <c r="N258" s="273">
        <f t="shared" si="76"/>
        <v>0</v>
      </c>
      <c r="O258" s="273">
        <f t="shared" si="76"/>
        <v>0</v>
      </c>
      <c r="P258" s="273">
        <f t="shared" si="76"/>
        <v>0</v>
      </c>
      <c r="Q258" s="273">
        <f t="shared" ref="Q258" si="77">SUM(Q254:Q257)</f>
        <v>0</v>
      </c>
      <c r="R258" s="273">
        <f t="shared" ref="R258" si="78">SUM(R254:R257)</f>
        <v>0</v>
      </c>
      <c r="S258" s="273">
        <f>SUM(S254:S257)</f>
        <v>8856.4599999999991</v>
      </c>
      <c r="T258" s="273">
        <f>SUM(T254:T257)</f>
        <v>17543.64</v>
      </c>
      <c r="U258" s="273">
        <f>SUM(U254:U257)</f>
        <v>8687.1800000000021</v>
      </c>
      <c r="V258" s="272">
        <f>S258/T258</f>
        <v>0.50482454040324587</v>
      </c>
    </row>
    <row r="259" spans="1:23" ht="15.75" thickTop="1" x14ac:dyDescent="0.25">
      <c r="A259" t="s">
        <v>174</v>
      </c>
      <c r="B259" s="292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W259" s="263"/>
    </row>
    <row r="260" spans="1:23" x14ac:dyDescent="0.25">
      <c r="A260" s="289"/>
      <c r="B260" s="291" t="s">
        <v>570</v>
      </c>
      <c r="C260" t="s">
        <v>569</v>
      </c>
      <c r="D260" s="283">
        <v>3004.07</v>
      </c>
      <c r="E260" s="283">
        <v>9000</v>
      </c>
      <c r="G260" s="265">
        <v>0</v>
      </c>
      <c r="H260" s="265">
        <v>0</v>
      </c>
      <c r="I260" s="265">
        <v>0</v>
      </c>
      <c r="J260" s="265">
        <v>0</v>
      </c>
      <c r="K260" s="265">
        <v>0</v>
      </c>
      <c r="L260" s="265">
        <v>0</v>
      </c>
      <c r="M260" s="265">
        <v>0</v>
      </c>
      <c r="N260" s="265">
        <v>0</v>
      </c>
      <c r="O260" s="265">
        <v>0</v>
      </c>
      <c r="P260" s="265">
        <v>0</v>
      </c>
      <c r="Q260" s="265">
        <v>0</v>
      </c>
      <c r="R260" s="265">
        <v>0</v>
      </c>
      <c r="S260" s="265">
        <f>SUM(G260:R260)</f>
        <v>0</v>
      </c>
      <c r="T260" s="265">
        <v>4200</v>
      </c>
      <c r="U260" s="265">
        <f>T260-S260</f>
        <v>4200</v>
      </c>
      <c r="V260" s="262">
        <f>S260/T260</f>
        <v>0</v>
      </c>
      <c r="W260" s="263"/>
    </row>
    <row r="261" spans="1:23" x14ac:dyDescent="0.25">
      <c r="A261" s="289"/>
      <c r="B261" s="291" t="s">
        <v>568</v>
      </c>
      <c r="C261" t="s">
        <v>432</v>
      </c>
      <c r="D261" s="283">
        <v>5622.6</v>
      </c>
      <c r="E261" s="283">
        <v>3000</v>
      </c>
      <c r="G261" s="265">
        <v>0</v>
      </c>
      <c r="H261" s="265">
        <v>0</v>
      </c>
      <c r="I261" s="265">
        <v>0</v>
      </c>
      <c r="J261" s="265">
        <v>0</v>
      </c>
      <c r="K261" s="265">
        <v>483.81</v>
      </c>
      <c r="L261" s="265">
        <v>0</v>
      </c>
      <c r="M261" s="265">
        <v>0</v>
      </c>
      <c r="N261" s="265">
        <v>0</v>
      </c>
      <c r="O261" s="265">
        <v>0</v>
      </c>
      <c r="P261" s="265">
        <v>0</v>
      </c>
      <c r="Q261" s="265">
        <v>0</v>
      </c>
      <c r="R261" s="265">
        <v>0</v>
      </c>
      <c r="S261" s="265">
        <f>SUM(G261:R261)</f>
        <v>483.81</v>
      </c>
      <c r="T261" s="265">
        <v>3900</v>
      </c>
      <c r="U261" s="265">
        <f>T261-S261</f>
        <v>3416.19</v>
      </c>
      <c r="V261" s="262">
        <f>S261/T261</f>
        <v>0.12405384615384615</v>
      </c>
    </row>
    <row r="262" spans="1:23" ht="15.75" thickBot="1" x14ac:dyDescent="0.3">
      <c r="D262" s="363">
        <v>8626.67</v>
      </c>
      <c r="E262" s="273">
        <v>12000</v>
      </c>
      <c r="F262" s="350"/>
      <c r="G262" s="273">
        <f t="shared" ref="G262:P262" si="79">SUM(G260:G261)</f>
        <v>0</v>
      </c>
      <c r="H262" s="273">
        <f t="shared" si="79"/>
        <v>0</v>
      </c>
      <c r="I262" s="273">
        <f t="shared" si="79"/>
        <v>0</v>
      </c>
      <c r="J262" s="273">
        <f t="shared" si="79"/>
        <v>0</v>
      </c>
      <c r="K262" s="273">
        <f t="shared" si="79"/>
        <v>483.81</v>
      </c>
      <c r="L262" s="273">
        <f t="shared" si="79"/>
        <v>0</v>
      </c>
      <c r="M262" s="273">
        <f t="shared" si="79"/>
        <v>0</v>
      </c>
      <c r="N262" s="273">
        <f t="shared" si="79"/>
        <v>0</v>
      </c>
      <c r="O262" s="273">
        <f t="shared" si="79"/>
        <v>0</v>
      </c>
      <c r="P262" s="273">
        <f t="shared" si="79"/>
        <v>0</v>
      </c>
      <c r="Q262" s="273">
        <f t="shared" ref="Q262" si="80">SUM(Q260:Q261)</f>
        <v>0</v>
      </c>
      <c r="R262" s="273">
        <f t="shared" ref="R262" si="81">SUM(R260:R261)</f>
        <v>0</v>
      </c>
      <c r="S262" s="273">
        <f>SUM(S260:S261)</f>
        <v>483.81</v>
      </c>
      <c r="T262" s="273">
        <f>SUM(T260:T261)</f>
        <v>8100</v>
      </c>
      <c r="U262" s="273">
        <f>SUM(U260:U261)</f>
        <v>7616.1900000000005</v>
      </c>
      <c r="V262" s="272">
        <f>S262/T262</f>
        <v>5.9729629629629633E-2</v>
      </c>
    </row>
    <row r="263" spans="1:23" ht="15.75" thickTop="1" x14ac:dyDescent="0.25"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W263" s="263"/>
    </row>
    <row r="264" spans="1:23" ht="17.25" x14ac:dyDescent="0.3">
      <c r="B264" s="264"/>
      <c r="C264" s="271" t="s">
        <v>567</v>
      </c>
      <c r="D264" s="366">
        <v>126404.39</v>
      </c>
      <c r="E264" s="270">
        <f t="shared" ref="E264:R264" si="82">E262+E258+E243+E251</f>
        <v>148512.66999999998</v>
      </c>
      <c r="F264" s="355"/>
      <c r="G264" s="270">
        <f t="shared" si="82"/>
        <v>17950.239999999998</v>
      </c>
      <c r="H264" s="270">
        <f t="shared" si="82"/>
        <v>12723.97</v>
      </c>
      <c r="I264" s="270">
        <f t="shared" si="82"/>
        <v>11047.470000000001</v>
      </c>
      <c r="J264" s="270">
        <f t="shared" si="82"/>
        <v>10929.524869556872</v>
      </c>
      <c r="K264" s="270">
        <f t="shared" si="82"/>
        <v>12294.73</v>
      </c>
      <c r="L264" s="270">
        <f t="shared" si="82"/>
        <v>12075.19</v>
      </c>
      <c r="M264" s="270">
        <f t="shared" si="82"/>
        <v>0</v>
      </c>
      <c r="N264" s="270">
        <f t="shared" si="82"/>
        <v>0</v>
      </c>
      <c r="O264" s="270">
        <f t="shared" si="82"/>
        <v>0</v>
      </c>
      <c r="P264" s="270">
        <f t="shared" si="82"/>
        <v>0</v>
      </c>
      <c r="Q264" s="270">
        <f t="shared" si="82"/>
        <v>0</v>
      </c>
      <c r="R264" s="270">
        <f t="shared" si="82"/>
        <v>0</v>
      </c>
      <c r="S264" s="270">
        <f>S262+S258+S243+S251</f>
        <v>77021.124869556865</v>
      </c>
      <c r="T264" s="270">
        <f>T262+T258+T243+T251</f>
        <v>116612.67</v>
      </c>
      <c r="U264" s="270">
        <f>U262+U258+U243+U251</f>
        <v>39591.545130443134</v>
      </c>
      <c r="V264" s="269">
        <f>S264/T264</f>
        <v>0.66048676245520199</v>
      </c>
    </row>
    <row r="265" spans="1:23" x14ac:dyDescent="0.25"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</row>
    <row r="266" spans="1:23" x14ac:dyDescent="0.25"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</row>
    <row r="267" spans="1:23" ht="15.75" thickBot="1" x14ac:dyDescent="0.3"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</row>
    <row r="268" spans="1:23" ht="15.75" thickBot="1" x14ac:dyDescent="0.3">
      <c r="A268" s="13" t="s">
        <v>566</v>
      </c>
      <c r="G268" s="387" t="s">
        <v>253</v>
      </c>
      <c r="H268" s="388"/>
      <c r="I268" s="388"/>
      <c r="J268" s="388"/>
      <c r="K268" s="388"/>
      <c r="L268" s="388"/>
      <c r="M268" s="388"/>
      <c r="N268" s="388"/>
      <c r="O268" s="388"/>
      <c r="P268" s="388"/>
      <c r="Q268" s="388"/>
      <c r="R268" s="388"/>
      <c r="S268" s="389"/>
      <c r="T268" s="265"/>
      <c r="U268" s="280" t="s">
        <v>252</v>
      </c>
    </row>
    <row r="269" spans="1:23" x14ac:dyDescent="0.25">
      <c r="A269" t="s">
        <v>251</v>
      </c>
      <c r="D269" s="361" t="s">
        <v>954</v>
      </c>
      <c r="E269" s="373" t="s">
        <v>956</v>
      </c>
      <c r="G269" s="279" t="s">
        <v>868</v>
      </c>
      <c r="H269" s="279" t="s">
        <v>869</v>
      </c>
      <c r="I269" s="279" t="s">
        <v>870</v>
      </c>
      <c r="J269" s="279" t="s">
        <v>871</v>
      </c>
      <c r="K269" s="279" t="s">
        <v>872</v>
      </c>
      <c r="L269" s="279" t="s">
        <v>873</v>
      </c>
      <c r="M269" s="279" t="s">
        <v>874</v>
      </c>
      <c r="N269" s="279" t="s">
        <v>875</v>
      </c>
      <c r="O269" s="279" t="s">
        <v>876</v>
      </c>
      <c r="P269" s="279" t="s">
        <v>877</v>
      </c>
      <c r="Q269" s="279" t="s">
        <v>878</v>
      </c>
      <c r="R269" s="279" t="s">
        <v>879</v>
      </c>
      <c r="S269" s="310" t="s">
        <v>250</v>
      </c>
      <c r="T269" s="309" t="s">
        <v>880</v>
      </c>
      <c r="U269" s="277" t="s">
        <v>249</v>
      </c>
      <c r="V269" s="276" t="s">
        <v>248</v>
      </c>
      <c r="W269" s="263"/>
    </row>
    <row r="270" spans="1:23" x14ac:dyDescent="0.25">
      <c r="A270" t="s">
        <v>55</v>
      </c>
      <c r="B270" t="s">
        <v>565</v>
      </c>
      <c r="C270" t="s">
        <v>564</v>
      </c>
      <c r="D270" s="283">
        <v>93600.02</v>
      </c>
      <c r="E270" s="283">
        <v>93600</v>
      </c>
      <c r="G270" s="265">
        <v>7800</v>
      </c>
      <c r="H270" s="265">
        <v>7800</v>
      </c>
      <c r="I270" s="265">
        <v>7800</v>
      </c>
      <c r="J270" s="265">
        <v>7800</v>
      </c>
      <c r="K270" s="265">
        <v>7917</v>
      </c>
      <c r="L270" s="265">
        <v>8034</v>
      </c>
      <c r="M270" s="265">
        <v>0</v>
      </c>
      <c r="N270" s="265">
        <v>0</v>
      </c>
      <c r="O270" s="265">
        <v>0</v>
      </c>
      <c r="P270" s="265">
        <v>0</v>
      </c>
      <c r="Q270" s="265">
        <v>0</v>
      </c>
      <c r="R270" s="265">
        <v>0</v>
      </c>
      <c r="S270" s="265">
        <f t="shared" ref="S270:S275" si="83">SUM(G270:R270)</f>
        <v>47151</v>
      </c>
      <c r="T270" s="265">
        <v>93600</v>
      </c>
      <c r="U270" s="265">
        <f t="shared" ref="U270:U275" si="84">T270-S270</f>
        <v>46449</v>
      </c>
      <c r="V270" s="262">
        <f t="shared" ref="V270:V276" si="85">S270/T270</f>
        <v>0.50375000000000003</v>
      </c>
      <c r="W270" s="263"/>
    </row>
    <row r="271" spans="1:23" x14ac:dyDescent="0.25">
      <c r="B271" t="s">
        <v>888</v>
      </c>
      <c r="C271" t="s">
        <v>262</v>
      </c>
      <c r="D271" s="283">
        <v>0</v>
      </c>
      <c r="E271" s="283">
        <v>0</v>
      </c>
      <c r="G271" s="265">
        <v>0</v>
      </c>
      <c r="H271" s="265">
        <v>0</v>
      </c>
      <c r="I271" s="265">
        <v>0</v>
      </c>
      <c r="J271" s="265">
        <v>0</v>
      </c>
      <c r="K271" s="265">
        <v>1053</v>
      </c>
      <c r="L271" s="265">
        <v>0</v>
      </c>
      <c r="M271" s="265">
        <v>0</v>
      </c>
      <c r="N271" s="265">
        <v>0</v>
      </c>
      <c r="O271" s="265">
        <v>0</v>
      </c>
      <c r="P271" s="265">
        <v>0</v>
      </c>
      <c r="Q271" s="265">
        <v>0</v>
      </c>
      <c r="R271" s="265">
        <v>0</v>
      </c>
      <c r="S271" s="265">
        <f t="shared" si="83"/>
        <v>1053</v>
      </c>
      <c r="T271" s="265">
        <v>2680.61</v>
      </c>
      <c r="U271" s="265">
        <f t="shared" si="84"/>
        <v>1627.6100000000001</v>
      </c>
      <c r="V271" s="262">
        <f t="shared" si="85"/>
        <v>0.39282103700277171</v>
      </c>
      <c r="W271" s="263"/>
    </row>
    <row r="272" spans="1:23" x14ac:dyDescent="0.25">
      <c r="A272" t="s">
        <v>55</v>
      </c>
      <c r="B272" t="s">
        <v>563</v>
      </c>
      <c r="C272" t="s">
        <v>562</v>
      </c>
      <c r="D272" s="283">
        <v>39521.519999999997</v>
      </c>
      <c r="E272" s="283">
        <v>39520</v>
      </c>
      <c r="G272" s="265">
        <v>3141.46</v>
      </c>
      <c r="H272" s="265">
        <v>3293.46</v>
      </c>
      <c r="I272" s="265">
        <v>3293.46</v>
      </c>
      <c r="J272" s="265">
        <v>3293.46</v>
      </c>
      <c r="K272" s="265">
        <v>3293.46</v>
      </c>
      <c r="L272" s="265">
        <v>3027.46</v>
      </c>
      <c r="M272" s="265">
        <v>0</v>
      </c>
      <c r="N272" s="265">
        <v>0</v>
      </c>
      <c r="O272" s="265">
        <v>0</v>
      </c>
      <c r="P272" s="265">
        <v>0</v>
      </c>
      <c r="Q272" s="265">
        <v>0</v>
      </c>
      <c r="R272" s="265">
        <v>0</v>
      </c>
      <c r="S272" s="265">
        <f t="shared" si="83"/>
        <v>19342.759999999998</v>
      </c>
      <c r="T272" s="265">
        <v>39521.519999999997</v>
      </c>
      <c r="U272" s="265">
        <f t="shared" si="84"/>
        <v>20178.759999999998</v>
      </c>
      <c r="V272" s="262">
        <f t="shared" si="85"/>
        <v>0.48942348371216493</v>
      </c>
      <c r="W272" s="263"/>
    </row>
    <row r="273" spans="1:23" x14ac:dyDescent="0.25">
      <c r="A273" t="s">
        <v>55</v>
      </c>
      <c r="B273" t="s">
        <v>561</v>
      </c>
      <c r="C273" t="s">
        <v>560</v>
      </c>
      <c r="D273" s="283">
        <v>0</v>
      </c>
      <c r="E273" s="283">
        <v>500</v>
      </c>
      <c r="G273" s="265">
        <v>0</v>
      </c>
      <c r="H273" s="265">
        <v>0</v>
      </c>
      <c r="I273" s="265">
        <v>0</v>
      </c>
      <c r="J273" s="265">
        <v>0</v>
      </c>
      <c r="K273" s="265">
        <v>0</v>
      </c>
      <c r="L273" s="265">
        <v>0</v>
      </c>
      <c r="M273" s="265">
        <v>0</v>
      </c>
      <c r="N273" s="265">
        <v>0</v>
      </c>
      <c r="O273" s="265">
        <v>0</v>
      </c>
      <c r="P273" s="265">
        <v>0</v>
      </c>
      <c r="Q273" s="265">
        <v>0</v>
      </c>
      <c r="R273" s="265">
        <v>0</v>
      </c>
      <c r="S273" s="265">
        <f t="shared" si="83"/>
        <v>0</v>
      </c>
      <c r="T273" s="265">
        <v>500</v>
      </c>
      <c r="U273" s="265">
        <f t="shared" si="84"/>
        <v>500</v>
      </c>
      <c r="V273" s="262">
        <f t="shared" si="85"/>
        <v>0</v>
      </c>
      <c r="W273" s="263"/>
    </row>
    <row r="274" spans="1:23" x14ac:dyDescent="0.25">
      <c r="A274" t="s">
        <v>55</v>
      </c>
      <c r="B274" t="s">
        <v>559</v>
      </c>
      <c r="C274" t="s">
        <v>558</v>
      </c>
      <c r="D274" s="283">
        <v>0</v>
      </c>
      <c r="E274" s="283">
        <v>7200</v>
      </c>
      <c r="G274" s="265">
        <v>0</v>
      </c>
      <c r="H274" s="265">
        <v>0</v>
      </c>
      <c r="I274" s="265">
        <v>0</v>
      </c>
      <c r="J274" s="265">
        <v>0</v>
      </c>
      <c r="K274" s="265">
        <v>0</v>
      </c>
      <c r="L274" s="265">
        <v>0</v>
      </c>
      <c r="M274" s="265">
        <v>0</v>
      </c>
      <c r="N274" s="265">
        <v>0</v>
      </c>
      <c r="O274" s="265">
        <v>0</v>
      </c>
      <c r="P274" s="265">
        <v>0</v>
      </c>
      <c r="Q274" s="265">
        <v>0</v>
      </c>
      <c r="R274" s="265">
        <v>0</v>
      </c>
      <c r="S274" s="265">
        <f t="shared" si="83"/>
        <v>0</v>
      </c>
      <c r="T274" s="265">
        <v>12200</v>
      </c>
      <c r="U274" s="265">
        <f t="shared" si="84"/>
        <v>12200</v>
      </c>
      <c r="V274" s="262">
        <f t="shared" si="85"/>
        <v>0</v>
      </c>
      <c r="W274" s="263"/>
    </row>
    <row r="275" spans="1:23" x14ac:dyDescent="0.25">
      <c r="A275" t="s">
        <v>55</v>
      </c>
      <c r="B275" t="s">
        <v>557</v>
      </c>
      <c r="C275" t="s">
        <v>234</v>
      </c>
      <c r="D275" s="283">
        <v>43684.11</v>
      </c>
      <c r="E275" s="283">
        <v>59283</v>
      </c>
      <c r="G275" s="265">
        <v>3640.3499999999995</v>
      </c>
      <c r="H275" s="265">
        <v>3640.34</v>
      </c>
      <c r="I275" s="265">
        <v>3640.34</v>
      </c>
      <c r="J275" s="265">
        <v>3640.34</v>
      </c>
      <c r="K275" s="265">
        <v>3640.34</v>
      </c>
      <c r="L275" s="265">
        <v>3640.34</v>
      </c>
      <c r="M275" s="265">
        <v>0</v>
      </c>
      <c r="N275" s="265">
        <v>0</v>
      </c>
      <c r="O275" s="265">
        <v>0</v>
      </c>
      <c r="P275" s="265">
        <v>0</v>
      </c>
      <c r="Q275" s="265">
        <v>0</v>
      </c>
      <c r="R275" s="265">
        <v>0</v>
      </c>
      <c r="S275" s="265">
        <f t="shared" si="83"/>
        <v>21842.05</v>
      </c>
      <c r="T275" s="265">
        <v>46364.61</v>
      </c>
      <c r="U275" s="265">
        <f t="shared" si="84"/>
        <v>24522.560000000001</v>
      </c>
      <c r="V275" s="262">
        <f t="shared" si="85"/>
        <v>0.47109314625961479</v>
      </c>
      <c r="W275" s="263"/>
    </row>
    <row r="276" spans="1:23" ht="15.75" thickBot="1" x14ac:dyDescent="0.3">
      <c r="D276" s="363">
        <v>176805.65000000002</v>
      </c>
      <c r="E276" s="273">
        <v>200103</v>
      </c>
      <c r="F276" s="350"/>
      <c r="G276" s="273">
        <f t="shared" ref="G276:S276" si="86">SUM(G270:G275)</f>
        <v>14581.809999999998</v>
      </c>
      <c r="H276" s="273">
        <f t="shared" si="86"/>
        <v>14733.8</v>
      </c>
      <c r="I276" s="273">
        <f t="shared" si="86"/>
        <v>14733.8</v>
      </c>
      <c r="J276" s="273">
        <f t="shared" si="86"/>
        <v>14733.8</v>
      </c>
      <c r="K276" s="273">
        <f t="shared" si="86"/>
        <v>15903.8</v>
      </c>
      <c r="L276" s="273">
        <f t="shared" si="86"/>
        <v>14701.8</v>
      </c>
      <c r="M276" s="273">
        <f t="shared" si="86"/>
        <v>0</v>
      </c>
      <c r="N276" s="273">
        <f t="shared" si="86"/>
        <v>0</v>
      </c>
      <c r="O276" s="273">
        <f t="shared" si="86"/>
        <v>0</v>
      </c>
      <c r="P276" s="273">
        <f t="shared" si="86"/>
        <v>0</v>
      </c>
      <c r="Q276" s="273">
        <f t="shared" si="86"/>
        <v>0</v>
      </c>
      <c r="R276" s="273">
        <f t="shared" si="86"/>
        <v>0</v>
      </c>
      <c r="S276" s="273">
        <f t="shared" si="86"/>
        <v>89388.81</v>
      </c>
      <c r="T276" s="273">
        <f>SUM(T270:T275)</f>
        <v>194866.74</v>
      </c>
      <c r="U276" s="273">
        <f>SUM(U270:U275)</f>
        <v>105477.93</v>
      </c>
      <c r="V276" s="272">
        <f t="shared" si="85"/>
        <v>0.45871763442032232</v>
      </c>
      <c r="W276" s="263"/>
    </row>
    <row r="277" spans="1:23" ht="15.75" thickTop="1" x14ac:dyDescent="0.25"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</row>
    <row r="278" spans="1:23" x14ac:dyDescent="0.25">
      <c r="A278" t="s">
        <v>231</v>
      </c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W278" s="263"/>
    </row>
    <row r="279" spans="1:23" x14ac:dyDescent="0.25">
      <c r="A279" t="s">
        <v>55</v>
      </c>
      <c r="B279" t="s">
        <v>556</v>
      </c>
      <c r="C279" t="s">
        <v>229</v>
      </c>
      <c r="D279" s="283">
        <v>28802.5</v>
      </c>
      <c r="E279" s="283">
        <v>10000</v>
      </c>
      <c r="G279" s="265">
        <v>2966</v>
      </c>
      <c r="H279" s="265">
        <v>1165.5</v>
      </c>
      <c r="I279" s="265">
        <v>1221.5</v>
      </c>
      <c r="J279" s="265">
        <v>532</v>
      </c>
      <c r="K279" s="265">
        <v>399</v>
      </c>
      <c r="L279" s="265">
        <v>315</v>
      </c>
      <c r="M279" s="265">
        <v>0</v>
      </c>
      <c r="N279" s="265">
        <v>0</v>
      </c>
      <c r="O279" s="265">
        <v>0</v>
      </c>
      <c r="P279" s="265">
        <v>0</v>
      </c>
      <c r="Q279" s="265">
        <v>0</v>
      </c>
      <c r="R279" s="265">
        <v>0</v>
      </c>
      <c r="S279" s="265">
        <f t="shared" ref="S279:S297" si="87">SUM(G279:R279)</f>
        <v>6599</v>
      </c>
      <c r="T279" s="265">
        <v>15000</v>
      </c>
      <c r="U279" s="265">
        <f t="shared" ref="U279:U297" si="88">T279-S279</f>
        <v>8401</v>
      </c>
      <c r="V279" s="262">
        <f t="shared" ref="V279:V298" si="89">S279/T279</f>
        <v>0.43993333333333334</v>
      </c>
      <c r="W279" s="263"/>
    </row>
    <row r="280" spans="1:23" x14ac:dyDescent="0.25">
      <c r="A280" t="s">
        <v>55</v>
      </c>
      <c r="B280" t="s">
        <v>555</v>
      </c>
      <c r="C280" t="s">
        <v>554</v>
      </c>
      <c r="D280" s="283">
        <v>0</v>
      </c>
      <c r="E280" s="283">
        <v>2400</v>
      </c>
      <c r="G280" s="265">
        <v>0</v>
      </c>
      <c r="H280" s="265">
        <v>0</v>
      </c>
      <c r="I280" s="265">
        <v>0</v>
      </c>
      <c r="J280" s="265">
        <v>0</v>
      </c>
      <c r="K280" s="265">
        <v>0</v>
      </c>
      <c r="L280" s="265">
        <v>0</v>
      </c>
      <c r="M280" s="265">
        <v>0</v>
      </c>
      <c r="N280" s="265">
        <v>0</v>
      </c>
      <c r="O280" s="265">
        <v>0</v>
      </c>
      <c r="P280" s="265">
        <v>0</v>
      </c>
      <c r="Q280" s="265">
        <v>0</v>
      </c>
      <c r="R280" s="265">
        <v>0</v>
      </c>
      <c r="S280" s="265">
        <f t="shared" si="87"/>
        <v>0</v>
      </c>
      <c r="T280" s="265">
        <v>2400</v>
      </c>
      <c r="U280" s="265">
        <f t="shared" si="88"/>
        <v>2400</v>
      </c>
      <c r="V280" s="262">
        <f t="shared" si="89"/>
        <v>0</v>
      </c>
      <c r="W280" s="263"/>
    </row>
    <row r="281" spans="1:23" x14ac:dyDescent="0.25">
      <c r="A281" t="s">
        <v>55</v>
      </c>
      <c r="B281" t="s">
        <v>553</v>
      </c>
      <c r="C281" t="s">
        <v>340</v>
      </c>
      <c r="D281" s="283">
        <v>5597.34</v>
      </c>
      <c r="E281" s="283">
        <v>23145.32</v>
      </c>
      <c r="G281" s="265">
        <v>11351.46</v>
      </c>
      <c r="H281" s="265">
        <v>10757.93</v>
      </c>
      <c r="I281" s="265">
        <v>2096.25</v>
      </c>
      <c r="J281" s="265">
        <v>97.5</v>
      </c>
      <c r="K281" s="265">
        <v>731.25</v>
      </c>
      <c r="L281" s="265">
        <v>1023.75</v>
      </c>
      <c r="M281" s="265">
        <v>0</v>
      </c>
      <c r="N281" s="265">
        <v>0</v>
      </c>
      <c r="O281" s="265">
        <v>0</v>
      </c>
      <c r="P281" s="265">
        <v>0</v>
      </c>
      <c r="Q281" s="265">
        <v>0</v>
      </c>
      <c r="R281" s="265">
        <v>0</v>
      </c>
      <c r="S281" s="265">
        <f t="shared" si="87"/>
        <v>26058.14</v>
      </c>
      <c r="T281" s="265">
        <v>20000</v>
      </c>
      <c r="U281" s="265">
        <f t="shared" si="88"/>
        <v>-6058.1399999999994</v>
      </c>
      <c r="V281" s="262">
        <f t="shared" si="89"/>
        <v>1.302907</v>
      </c>
      <c r="W281" s="263"/>
    </row>
    <row r="282" spans="1:23" x14ac:dyDescent="0.25">
      <c r="A282" t="s">
        <v>55</v>
      </c>
      <c r="B282" t="s">
        <v>552</v>
      </c>
      <c r="C282" t="s">
        <v>551</v>
      </c>
      <c r="D282" s="283">
        <v>15894</v>
      </c>
      <c r="E282" s="283">
        <v>10000</v>
      </c>
      <c r="G282" s="265">
        <v>0</v>
      </c>
      <c r="H282" s="265">
        <v>0</v>
      </c>
      <c r="I282" s="265">
        <v>1715</v>
      </c>
      <c r="J282" s="265">
        <v>82</v>
      </c>
      <c r="K282" s="265">
        <v>164</v>
      </c>
      <c r="L282" s="265">
        <v>0</v>
      </c>
      <c r="M282" s="265">
        <v>0</v>
      </c>
      <c r="N282" s="265">
        <v>0</v>
      </c>
      <c r="O282" s="265">
        <v>0</v>
      </c>
      <c r="P282" s="265">
        <v>0</v>
      </c>
      <c r="Q282" s="265">
        <v>0</v>
      </c>
      <c r="R282" s="265">
        <v>0</v>
      </c>
      <c r="S282" s="265">
        <f t="shared" si="87"/>
        <v>1961</v>
      </c>
      <c r="T282" s="265">
        <v>10000</v>
      </c>
      <c r="U282" s="265">
        <f t="shared" si="88"/>
        <v>8039</v>
      </c>
      <c r="V282" s="262">
        <f t="shared" si="89"/>
        <v>0.1961</v>
      </c>
      <c r="W282" s="263"/>
    </row>
    <row r="283" spans="1:23" x14ac:dyDescent="0.25">
      <c r="A283" t="s">
        <v>55</v>
      </c>
      <c r="B283" t="s">
        <v>550</v>
      </c>
      <c r="C283" t="s">
        <v>549</v>
      </c>
      <c r="D283" s="283">
        <v>70783.14</v>
      </c>
      <c r="E283" s="283">
        <v>38200</v>
      </c>
      <c r="G283" s="265">
        <v>7084.19</v>
      </c>
      <c r="H283" s="265">
        <f>736.96+4361.05</f>
        <v>5098.01</v>
      </c>
      <c r="I283" s="265">
        <v>12915.5</v>
      </c>
      <c r="J283" s="265">
        <v>3460.61</v>
      </c>
      <c r="K283" s="265">
        <v>4633.5899999999965</v>
      </c>
      <c r="L283" s="265">
        <v>694.34</v>
      </c>
      <c r="M283" s="265">
        <v>0</v>
      </c>
      <c r="N283" s="265">
        <v>0</v>
      </c>
      <c r="O283" s="265">
        <v>0</v>
      </c>
      <c r="P283" s="265">
        <v>0</v>
      </c>
      <c r="Q283" s="265">
        <v>0</v>
      </c>
      <c r="R283" s="265">
        <v>0</v>
      </c>
      <c r="S283" s="265">
        <f t="shared" si="87"/>
        <v>33886.239999999991</v>
      </c>
      <c r="T283" s="265">
        <v>44850</v>
      </c>
      <c r="U283" s="265">
        <f t="shared" si="88"/>
        <v>10963.760000000009</v>
      </c>
      <c r="V283" s="262">
        <f t="shared" si="89"/>
        <v>0.75554604236343348</v>
      </c>
      <c r="W283" s="263"/>
    </row>
    <row r="284" spans="1:23" x14ac:dyDescent="0.25">
      <c r="A284" t="s">
        <v>55</v>
      </c>
      <c r="B284" t="s">
        <v>548</v>
      </c>
      <c r="C284" t="s">
        <v>225</v>
      </c>
      <c r="D284" s="283">
        <v>1887.76</v>
      </c>
      <c r="E284" s="283">
        <v>1750</v>
      </c>
      <c r="G284" s="265">
        <v>126.84</v>
      </c>
      <c r="H284" s="265">
        <v>29.62</v>
      </c>
      <c r="I284" s="265">
        <v>161.58000000000001</v>
      </c>
      <c r="J284" s="265">
        <v>154.21</v>
      </c>
      <c r="K284" s="265">
        <v>126.66</v>
      </c>
      <c r="L284" s="265">
        <v>127.04</v>
      </c>
      <c r="M284" s="265">
        <v>0</v>
      </c>
      <c r="N284" s="265">
        <v>0</v>
      </c>
      <c r="O284" s="265">
        <v>0</v>
      </c>
      <c r="P284" s="265">
        <v>0</v>
      </c>
      <c r="Q284" s="265">
        <v>0</v>
      </c>
      <c r="R284" s="265">
        <v>0</v>
      </c>
      <c r="S284" s="265">
        <f t="shared" si="87"/>
        <v>725.94999999999993</v>
      </c>
      <c r="T284" s="265">
        <v>1750</v>
      </c>
      <c r="U284" s="265">
        <f t="shared" si="88"/>
        <v>1024.0500000000002</v>
      </c>
      <c r="V284" s="262">
        <f t="shared" si="89"/>
        <v>0.41482857142857138</v>
      </c>
      <c r="W284" s="263"/>
    </row>
    <row r="285" spans="1:23" x14ac:dyDescent="0.25">
      <c r="A285" t="s">
        <v>55</v>
      </c>
      <c r="B285" t="s">
        <v>547</v>
      </c>
      <c r="C285" t="s">
        <v>221</v>
      </c>
      <c r="D285" s="283">
        <v>28549.39</v>
      </c>
      <c r="E285" s="283">
        <v>9064.44</v>
      </c>
      <c r="G285" s="265">
        <v>0</v>
      </c>
      <c r="H285" s="265">
        <v>0</v>
      </c>
      <c r="I285" s="265">
        <v>16.37004776375943</v>
      </c>
      <c r="J285" s="265">
        <v>13277.08995223624</v>
      </c>
      <c r="K285" s="265">
        <v>0</v>
      </c>
      <c r="L285" s="265">
        <v>0</v>
      </c>
      <c r="M285" s="265">
        <v>0</v>
      </c>
      <c r="N285" s="265">
        <v>0</v>
      </c>
      <c r="O285" s="265">
        <v>0</v>
      </c>
      <c r="P285" s="265">
        <v>0</v>
      </c>
      <c r="Q285" s="265">
        <v>0</v>
      </c>
      <c r="R285" s="265">
        <v>0</v>
      </c>
      <c r="S285" s="265">
        <f t="shared" si="87"/>
        <v>13293.46</v>
      </c>
      <c r="T285" s="265">
        <v>19910</v>
      </c>
      <c r="U285" s="265">
        <f t="shared" si="88"/>
        <v>6616.5400000000009</v>
      </c>
      <c r="V285" s="262">
        <f t="shared" si="89"/>
        <v>0.66767754897036657</v>
      </c>
      <c r="W285" s="263"/>
    </row>
    <row r="286" spans="1:23" x14ac:dyDescent="0.25">
      <c r="A286" t="s">
        <v>55</v>
      </c>
      <c r="B286" t="s">
        <v>546</v>
      </c>
      <c r="C286" t="s">
        <v>545</v>
      </c>
      <c r="D286" s="283">
        <v>0</v>
      </c>
      <c r="E286" s="283">
        <v>328.8</v>
      </c>
      <c r="G286" s="265">
        <v>0</v>
      </c>
      <c r="H286" s="265">
        <v>0</v>
      </c>
      <c r="I286" s="265">
        <v>0</v>
      </c>
      <c r="J286" s="265">
        <v>0</v>
      </c>
      <c r="K286" s="265">
        <v>0</v>
      </c>
      <c r="L286" s="265">
        <v>0</v>
      </c>
      <c r="M286" s="265">
        <v>0</v>
      </c>
      <c r="N286" s="265">
        <v>0</v>
      </c>
      <c r="O286" s="265">
        <v>0</v>
      </c>
      <c r="P286" s="265">
        <v>0</v>
      </c>
      <c r="Q286" s="265">
        <v>0</v>
      </c>
      <c r="R286" s="265">
        <v>0</v>
      </c>
      <c r="S286" s="265">
        <f t="shared" si="87"/>
        <v>0</v>
      </c>
      <c r="T286" s="265">
        <v>2000</v>
      </c>
      <c r="U286" s="265">
        <f t="shared" si="88"/>
        <v>2000</v>
      </c>
      <c r="V286" s="262">
        <f t="shared" si="89"/>
        <v>0</v>
      </c>
      <c r="W286" s="263"/>
    </row>
    <row r="287" spans="1:23" x14ac:dyDescent="0.25">
      <c r="A287" t="s">
        <v>55</v>
      </c>
      <c r="B287" t="s">
        <v>544</v>
      </c>
      <c r="C287" t="s">
        <v>543</v>
      </c>
      <c r="D287" s="283">
        <v>8867.17</v>
      </c>
      <c r="E287" s="283">
        <v>6994.08</v>
      </c>
      <c r="G287" s="265">
        <v>0</v>
      </c>
      <c r="H287" s="265">
        <v>0</v>
      </c>
      <c r="I287" s="265">
        <v>0</v>
      </c>
      <c r="J287" s="265">
        <v>2604.2027693418549</v>
      </c>
      <c r="K287" s="265">
        <v>0</v>
      </c>
      <c r="L287" s="265">
        <v>0</v>
      </c>
      <c r="M287" s="265">
        <v>0</v>
      </c>
      <c r="N287" s="265">
        <v>0</v>
      </c>
      <c r="O287" s="265">
        <v>0</v>
      </c>
      <c r="P287" s="265">
        <v>0</v>
      </c>
      <c r="Q287" s="265">
        <v>0</v>
      </c>
      <c r="R287" s="265">
        <v>0</v>
      </c>
      <c r="S287" s="265">
        <f t="shared" si="87"/>
        <v>2604.2027693418549</v>
      </c>
      <c r="T287" s="265">
        <v>6994</v>
      </c>
      <c r="U287" s="265">
        <f t="shared" si="88"/>
        <v>4389.7972306581451</v>
      </c>
      <c r="V287" s="262">
        <f t="shared" si="89"/>
        <v>0.37234812258247857</v>
      </c>
      <c r="W287" s="263"/>
    </row>
    <row r="288" spans="1:23" x14ac:dyDescent="0.25">
      <c r="A288" t="s">
        <v>55</v>
      </c>
      <c r="B288" t="s">
        <v>542</v>
      </c>
      <c r="C288" t="s">
        <v>541</v>
      </c>
      <c r="D288" s="283">
        <v>0</v>
      </c>
      <c r="E288" s="283">
        <v>2500</v>
      </c>
      <c r="G288" s="265">
        <v>0</v>
      </c>
      <c r="H288" s="265">
        <v>0</v>
      </c>
      <c r="I288" s="265">
        <v>0</v>
      </c>
      <c r="J288" s="265">
        <v>0</v>
      </c>
      <c r="K288" s="265">
        <v>0</v>
      </c>
      <c r="L288" s="265">
        <v>0</v>
      </c>
      <c r="M288" s="265">
        <v>0</v>
      </c>
      <c r="N288" s="265">
        <v>0</v>
      </c>
      <c r="O288" s="265">
        <v>0</v>
      </c>
      <c r="P288" s="265">
        <v>0</v>
      </c>
      <c r="Q288" s="265">
        <v>0</v>
      </c>
      <c r="R288" s="265">
        <v>0</v>
      </c>
      <c r="S288" s="265">
        <f t="shared" si="87"/>
        <v>0</v>
      </c>
      <c r="T288" s="265">
        <v>2000</v>
      </c>
      <c r="U288" s="265">
        <f t="shared" si="88"/>
        <v>2000</v>
      </c>
      <c r="V288" s="262">
        <f t="shared" si="89"/>
        <v>0</v>
      </c>
      <c r="W288" s="263"/>
    </row>
    <row r="289" spans="1:23" x14ac:dyDescent="0.25">
      <c r="A289" t="s">
        <v>55</v>
      </c>
      <c r="B289" t="s">
        <v>540</v>
      </c>
      <c r="C289" t="s">
        <v>539</v>
      </c>
      <c r="D289" s="283">
        <v>0</v>
      </c>
      <c r="E289" s="283">
        <v>10000</v>
      </c>
      <c r="G289" s="265">
        <v>0</v>
      </c>
      <c r="H289" s="265">
        <v>0</v>
      </c>
      <c r="I289" s="265">
        <v>0</v>
      </c>
      <c r="J289" s="265">
        <v>0</v>
      </c>
      <c r="K289" s="265">
        <v>0</v>
      </c>
      <c r="L289" s="265">
        <v>0</v>
      </c>
      <c r="M289" s="265">
        <v>0</v>
      </c>
      <c r="N289" s="265">
        <v>0</v>
      </c>
      <c r="O289" s="265">
        <v>0</v>
      </c>
      <c r="P289" s="265">
        <v>0</v>
      </c>
      <c r="Q289" s="265">
        <v>0</v>
      </c>
      <c r="R289" s="265">
        <v>0</v>
      </c>
      <c r="S289" s="265">
        <f t="shared" si="87"/>
        <v>0</v>
      </c>
      <c r="T289" s="265">
        <v>7500</v>
      </c>
      <c r="U289" s="265">
        <f t="shared" si="88"/>
        <v>7500</v>
      </c>
      <c r="V289" s="262">
        <f t="shared" si="89"/>
        <v>0</v>
      </c>
      <c r="W289" s="263"/>
    </row>
    <row r="290" spans="1:23" x14ac:dyDescent="0.25">
      <c r="A290" t="s">
        <v>55</v>
      </c>
      <c r="B290" t="s">
        <v>538</v>
      </c>
      <c r="C290" t="s">
        <v>537</v>
      </c>
      <c r="D290" s="283">
        <v>0</v>
      </c>
      <c r="E290" s="283">
        <v>500</v>
      </c>
      <c r="G290" s="265">
        <v>0</v>
      </c>
      <c r="H290" s="265">
        <v>0</v>
      </c>
      <c r="I290" s="265">
        <v>0</v>
      </c>
      <c r="J290" s="265">
        <v>0</v>
      </c>
      <c r="K290" s="265">
        <v>0</v>
      </c>
      <c r="L290" s="265">
        <v>0</v>
      </c>
      <c r="M290" s="265">
        <v>0</v>
      </c>
      <c r="N290" s="265">
        <v>0</v>
      </c>
      <c r="O290" s="265">
        <v>0</v>
      </c>
      <c r="P290" s="265">
        <v>0</v>
      </c>
      <c r="Q290" s="265">
        <v>0</v>
      </c>
      <c r="R290" s="265">
        <v>0</v>
      </c>
      <c r="S290" s="265">
        <f t="shared" si="87"/>
        <v>0</v>
      </c>
      <c r="T290" s="265">
        <v>500</v>
      </c>
      <c r="U290" s="265">
        <f t="shared" si="88"/>
        <v>500</v>
      </c>
      <c r="V290" s="262">
        <f t="shared" si="89"/>
        <v>0</v>
      </c>
      <c r="W290" s="263"/>
    </row>
    <row r="291" spans="1:23" x14ac:dyDescent="0.25">
      <c r="A291" t="s">
        <v>55</v>
      </c>
      <c r="B291" t="s">
        <v>536</v>
      </c>
      <c r="C291" t="s">
        <v>194</v>
      </c>
      <c r="D291" s="283">
        <v>3623.27</v>
      </c>
      <c r="E291" s="283">
        <v>1000</v>
      </c>
      <c r="G291" s="265">
        <v>0</v>
      </c>
      <c r="H291" s="265">
        <v>0</v>
      </c>
      <c r="I291" s="265">
        <v>0</v>
      </c>
      <c r="J291" s="265">
        <v>635</v>
      </c>
      <c r="K291" s="265">
        <v>0</v>
      </c>
      <c r="L291" s="265">
        <v>0</v>
      </c>
      <c r="M291" s="265">
        <v>0</v>
      </c>
      <c r="N291" s="265">
        <v>0</v>
      </c>
      <c r="O291" s="265">
        <v>0</v>
      </c>
      <c r="P291" s="265">
        <v>0</v>
      </c>
      <c r="Q291" s="265">
        <v>0</v>
      </c>
      <c r="R291" s="265">
        <v>0</v>
      </c>
      <c r="S291" s="265">
        <f t="shared" si="87"/>
        <v>635</v>
      </c>
      <c r="T291" s="265">
        <v>5000</v>
      </c>
      <c r="U291" s="265">
        <f t="shared" si="88"/>
        <v>4365</v>
      </c>
      <c r="V291" s="262">
        <f t="shared" si="89"/>
        <v>0.127</v>
      </c>
      <c r="W291" s="263"/>
    </row>
    <row r="292" spans="1:23" x14ac:dyDescent="0.25">
      <c r="A292" t="s">
        <v>55</v>
      </c>
      <c r="B292" t="s">
        <v>535</v>
      </c>
      <c r="C292" t="s">
        <v>316</v>
      </c>
      <c r="D292" s="283">
        <v>393.45</v>
      </c>
      <c r="E292" s="283">
        <v>1000</v>
      </c>
      <c r="G292" s="265">
        <v>0</v>
      </c>
      <c r="H292" s="265">
        <v>0</v>
      </c>
      <c r="I292" s="265">
        <v>0</v>
      </c>
      <c r="J292" s="265">
        <v>0</v>
      </c>
      <c r="K292" s="265">
        <v>0</v>
      </c>
      <c r="L292" s="265">
        <v>0</v>
      </c>
      <c r="M292" s="265">
        <v>0</v>
      </c>
      <c r="N292" s="265">
        <v>0</v>
      </c>
      <c r="O292" s="265">
        <v>0</v>
      </c>
      <c r="P292" s="265">
        <v>0</v>
      </c>
      <c r="Q292" s="265">
        <v>0</v>
      </c>
      <c r="R292" s="265">
        <v>0</v>
      </c>
      <c r="S292" s="265">
        <f t="shared" si="87"/>
        <v>0</v>
      </c>
      <c r="T292" s="265">
        <v>1500</v>
      </c>
      <c r="U292" s="265">
        <f t="shared" si="88"/>
        <v>1500</v>
      </c>
      <c r="V292" s="262">
        <f t="shared" si="89"/>
        <v>0</v>
      </c>
      <c r="W292" s="263"/>
    </row>
    <row r="293" spans="1:23" x14ac:dyDescent="0.25">
      <c r="A293" t="s">
        <v>55</v>
      </c>
      <c r="B293" t="s">
        <v>534</v>
      </c>
      <c r="C293" t="s">
        <v>533</v>
      </c>
      <c r="D293" s="283">
        <v>392.57</v>
      </c>
      <c r="E293" s="283">
        <v>0</v>
      </c>
      <c r="G293" s="265">
        <v>163.5</v>
      </c>
      <c r="H293" s="265">
        <v>0</v>
      </c>
      <c r="I293" s="265">
        <v>0</v>
      </c>
      <c r="J293" s="265">
        <v>0</v>
      </c>
      <c r="K293" s="265">
        <v>0</v>
      </c>
      <c r="L293" s="265">
        <v>0</v>
      </c>
      <c r="M293" s="265">
        <v>0</v>
      </c>
      <c r="N293" s="265">
        <v>0</v>
      </c>
      <c r="O293" s="265">
        <v>0</v>
      </c>
      <c r="P293" s="265">
        <v>0</v>
      </c>
      <c r="Q293" s="265">
        <v>0</v>
      </c>
      <c r="R293" s="265">
        <v>0</v>
      </c>
      <c r="S293" s="265">
        <f t="shared" si="87"/>
        <v>163.5</v>
      </c>
      <c r="T293" s="265">
        <v>0</v>
      </c>
      <c r="U293" s="265">
        <f t="shared" si="88"/>
        <v>-163.5</v>
      </c>
      <c r="V293" s="262">
        <v>0</v>
      </c>
      <c r="W293" s="263"/>
    </row>
    <row r="294" spans="1:23" x14ac:dyDescent="0.25">
      <c r="A294" t="s">
        <v>55</v>
      </c>
      <c r="B294" t="s">
        <v>532</v>
      </c>
      <c r="C294" t="s">
        <v>531</v>
      </c>
      <c r="D294" s="283">
        <v>0</v>
      </c>
      <c r="E294" s="283">
        <v>5000</v>
      </c>
      <c r="G294" s="265">
        <v>0</v>
      </c>
      <c r="H294" s="265">
        <v>0</v>
      </c>
      <c r="I294" s="265">
        <v>0</v>
      </c>
      <c r="J294" s="265">
        <v>0</v>
      </c>
      <c r="K294" s="265">
        <v>0</v>
      </c>
      <c r="L294" s="265">
        <v>0</v>
      </c>
      <c r="M294" s="265">
        <v>0</v>
      </c>
      <c r="N294" s="265">
        <v>0</v>
      </c>
      <c r="O294" s="265">
        <v>0</v>
      </c>
      <c r="P294" s="265">
        <v>0</v>
      </c>
      <c r="Q294" s="265">
        <v>0</v>
      </c>
      <c r="R294" s="265">
        <v>0</v>
      </c>
      <c r="S294" s="265">
        <f t="shared" si="87"/>
        <v>0</v>
      </c>
      <c r="T294" s="265">
        <v>5000</v>
      </c>
      <c r="U294" s="265">
        <f t="shared" si="88"/>
        <v>5000</v>
      </c>
      <c r="V294" s="262">
        <f t="shared" si="89"/>
        <v>0</v>
      </c>
      <c r="W294" s="263"/>
    </row>
    <row r="295" spans="1:23" x14ac:dyDescent="0.25">
      <c r="B295" t="s">
        <v>889</v>
      </c>
      <c r="C295" t="s">
        <v>595</v>
      </c>
      <c r="D295" s="283">
        <v>0</v>
      </c>
      <c r="E295" s="283">
        <v>0</v>
      </c>
      <c r="G295" s="265">
        <v>0</v>
      </c>
      <c r="H295" s="265">
        <v>841.85</v>
      </c>
      <c r="I295" s="265">
        <v>0</v>
      </c>
      <c r="J295" s="265">
        <v>0</v>
      </c>
      <c r="K295" s="265">
        <v>0</v>
      </c>
      <c r="L295" s="265">
        <v>0</v>
      </c>
      <c r="M295" s="265">
        <v>0</v>
      </c>
      <c r="N295" s="265">
        <v>0</v>
      </c>
      <c r="O295" s="265">
        <v>0</v>
      </c>
      <c r="P295" s="265">
        <v>0</v>
      </c>
      <c r="Q295" s="265">
        <v>0</v>
      </c>
      <c r="R295" s="265">
        <v>0</v>
      </c>
      <c r="S295" s="265">
        <f t="shared" si="87"/>
        <v>841.85</v>
      </c>
      <c r="T295" s="265">
        <v>0</v>
      </c>
      <c r="U295" s="265">
        <f t="shared" si="88"/>
        <v>-841.85</v>
      </c>
      <c r="V295" s="262">
        <v>0</v>
      </c>
      <c r="W295" s="263"/>
    </row>
    <row r="296" spans="1:23" x14ac:dyDescent="0.25">
      <c r="A296" t="s">
        <v>55</v>
      </c>
      <c r="B296" t="s">
        <v>530</v>
      </c>
      <c r="C296" t="s">
        <v>190</v>
      </c>
      <c r="D296" s="283">
        <v>0</v>
      </c>
      <c r="E296" s="283">
        <v>5500</v>
      </c>
      <c r="G296" s="265">
        <v>0</v>
      </c>
      <c r="H296" s="265">
        <v>0</v>
      </c>
      <c r="I296" s="265">
        <v>0</v>
      </c>
      <c r="J296" s="265">
        <v>0</v>
      </c>
      <c r="K296" s="265">
        <v>621.37</v>
      </c>
      <c r="L296" s="265">
        <v>3.28</v>
      </c>
      <c r="M296" s="265">
        <v>0</v>
      </c>
      <c r="N296" s="265">
        <v>0</v>
      </c>
      <c r="O296" s="265">
        <v>0</v>
      </c>
      <c r="P296" s="265">
        <v>0</v>
      </c>
      <c r="Q296" s="265">
        <v>0</v>
      </c>
      <c r="R296" s="265">
        <v>0</v>
      </c>
      <c r="S296" s="265">
        <f t="shared" si="87"/>
        <v>624.65</v>
      </c>
      <c r="T296" s="265">
        <v>2750</v>
      </c>
      <c r="U296" s="265">
        <f t="shared" si="88"/>
        <v>2125.35</v>
      </c>
      <c r="V296" s="262">
        <f t="shared" si="89"/>
        <v>0.22714545454545454</v>
      </c>
      <c r="W296" s="263"/>
    </row>
    <row r="297" spans="1:23" x14ac:dyDescent="0.25">
      <c r="A297" t="s">
        <v>55</v>
      </c>
      <c r="B297" t="s">
        <v>529</v>
      </c>
      <c r="C297" t="s">
        <v>306</v>
      </c>
      <c r="D297" s="283">
        <v>1068.68</v>
      </c>
      <c r="E297" s="283">
        <v>550</v>
      </c>
      <c r="G297" s="265">
        <v>8.9899999999999984</v>
      </c>
      <c r="H297" s="265">
        <v>13.89</v>
      </c>
      <c r="I297" s="265">
        <v>8.52</v>
      </c>
      <c r="J297" s="265">
        <v>17.77</v>
      </c>
      <c r="K297" s="265">
        <v>0</v>
      </c>
      <c r="L297" s="265">
        <v>8.06</v>
      </c>
      <c r="M297" s="265">
        <v>0</v>
      </c>
      <c r="N297" s="265">
        <v>0</v>
      </c>
      <c r="O297" s="265">
        <v>0</v>
      </c>
      <c r="P297" s="265">
        <v>0</v>
      </c>
      <c r="Q297" s="265">
        <v>0</v>
      </c>
      <c r="R297" s="265">
        <v>0</v>
      </c>
      <c r="S297" s="265">
        <f t="shared" si="87"/>
        <v>57.230000000000004</v>
      </c>
      <c r="T297" s="265">
        <v>1000</v>
      </c>
      <c r="U297" s="265">
        <f t="shared" si="88"/>
        <v>942.77</v>
      </c>
      <c r="V297" s="262">
        <f t="shared" si="89"/>
        <v>5.7230000000000003E-2</v>
      </c>
      <c r="W297" s="263"/>
    </row>
    <row r="298" spans="1:23" ht="15.75" thickBot="1" x14ac:dyDescent="0.3">
      <c r="D298" s="363">
        <v>165859.27000000002</v>
      </c>
      <c r="E298" s="273">
        <v>127932.64000000001</v>
      </c>
      <c r="F298" s="350"/>
      <c r="G298" s="273">
        <f t="shared" ref="G298:S298" si="90">SUM(G279:G297)</f>
        <v>21700.98</v>
      </c>
      <c r="H298" s="273">
        <f t="shared" si="90"/>
        <v>17906.8</v>
      </c>
      <c r="I298" s="273">
        <f t="shared" si="90"/>
        <v>18134.720047763763</v>
      </c>
      <c r="J298" s="273">
        <f t="shared" si="90"/>
        <v>20860.382721578095</v>
      </c>
      <c r="K298" s="273">
        <f t="shared" si="90"/>
        <v>6675.8699999999963</v>
      </c>
      <c r="L298" s="273">
        <f t="shared" si="90"/>
        <v>2171.4700000000003</v>
      </c>
      <c r="M298" s="273">
        <f t="shared" si="90"/>
        <v>0</v>
      </c>
      <c r="N298" s="273">
        <f t="shared" si="90"/>
        <v>0</v>
      </c>
      <c r="O298" s="273">
        <f t="shared" si="90"/>
        <v>0</v>
      </c>
      <c r="P298" s="273">
        <f t="shared" si="90"/>
        <v>0</v>
      </c>
      <c r="Q298" s="273">
        <f t="shared" si="90"/>
        <v>0</v>
      </c>
      <c r="R298" s="273">
        <f t="shared" si="90"/>
        <v>0</v>
      </c>
      <c r="S298" s="273">
        <f t="shared" si="90"/>
        <v>87450.222769341824</v>
      </c>
      <c r="T298" s="273">
        <f>SUM(T279:T297)</f>
        <v>148154</v>
      </c>
      <c r="U298" s="273">
        <f>SUM(U279:U297)</f>
        <v>60703.777230658146</v>
      </c>
      <c r="V298" s="272">
        <f t="shared" si="89"/>
        <v>0.59026568819837344</v>
      </c>
      <c r="W298" s="263"/>
    </row>
    <row r="299" spans="1:23" ht="15.75" thickTop="1" x14ac:dyDescent="0.25">
      <c r="A299" t="s">
        <v>187</v>
      </c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W299" s="263"/>
    </row>
    <row r="300" spans="1:23" x14ac:dyDescent="0.25">
      <c r="A300" t="s">
        <v>55</v>
      </c>
      <c r="B300" s="290" t="s">
        <v>528</v>
      </c>
      <c r="C300" t="s">
        <v>185</v>
      </c>
      <c r="D300" s="283">
        <v>59510.42</v>
      </c>
      <c r="E300" s="283">
        <v>66292.899999999994</v>
      </c>
      <c r="G300" s="265">
        <v>5621.26</v>
      </c>
      <c r="H300" s="265">
        <v>5582.9</v>
      </c>
      <c r="I300" s="265">
        <v>4906.6599999999971</v>
      </c>
      <c r="J300" s="265">
        <v>6242.58</v>
      </c>
      <c r="K300" s="265">
        <v>5574.6200000000008</v>
      </c>
      <c r="L300" s="265">
        <v>5574.62</v>
      </c>
      <c r="M300" s="265">
        <v>0</v>
      </c>
      <c r="N300" s="265">
        <v>0</v>
      </c>
      <c r="O300" s="265">
        <v>0</v>
      </c>
      <c r="P300" s="265">
        <v>0</v>
      </c>
      <c r="Q300" s="265">
        <v>0</v>
      </c>
      <c r="R300" s="265">
        <v>0</v>
      </c>
      <c r="S300" s="265">
        <f t="shared" ref="S300:S303" si="91">SUM(G300:R300)</f>
        <v>33502.639999999999</v>
      </c>
      <c r="T300" s="265">
        <v>66293</v>
      </c>
      <c r="U300" s="265">
        <f>T300-S300</f>
        <v>32790.36</v>
      </c>
      <c r="V300" s="262">
        <f>S300/T300</f>
        <v>0.50537221124402276</v>
      </c>
      <c r="W300" s="263"/>
    </row>
    <row r="301" spans="1:23" x14ac:dyDescent="0.25">
      <c r="A301" t="s">
        <v>55</v>
      </c>
      <c r="B301" s="290" t="s">
        <v>527</v>
      </c>
      <c r="C301" t="s">
        <v>183</v>
      </c>
      <c r="D301" s="283">
        <v>3509.68</v>
      </c>
      <c r="E301" s="283">
        <v>216</v>
      </c>
      <c r="G301" s="265">
        <v>271.04000000000002</v>
      </c>
      <c r="H301" s="265">
        <v>271.04000000000002</v>
      </c>
      <c r="I301" s="265">
        <v>271.04000000000002</v>
      </c>
      <c r="J301" s="265">
        <v>271.04000000000002</v>
      </c>
      <c r="K301" s="265">
        <v>271.04000000000002</v>
      </c>
      <c r="L301" s="265">
        <v>271.04000000000002</v>
      </c>
      <c r="M301" s="265">
        <v>0</v>
      </c>
      <c r="N301" s="265">
        <v>0</v>
      </c>
      <c r="O301" s="265">
        <v>0</v>
      </c>
      <c r="P301" s="265">
        <v>0</v>
      </c>
      <c r="Q301" s="265">
        <v>0</v>
      </c>
      <c r="R301" s="265">
        <v>0</v>
      </c>
      <c r="S301" s="265">
        <f t="shared" si="91"/>
        <v>1626.24</v>
      </c>
      <c r="T301" s="265">
        <v>216</v>
      </c>
      <c r="U301" s="265">
        <f>T301-S301</f>
        <v>-1410.24</v>
      </c>
      <c r="V301" s="262">
        <f>S301/T301</f>
        <v>7.528888888888889</v>
      </c>
      <c r="W301" s="263"/>
    </row>
    <row r="302" spans="1:23" x14ac:dyDescent="0.25">
      <c r="A302" t="s">
        <v>55</v>
      </c>
      <c r="B302" s="290" t="s">
        <v>526</v>
      </c>
      <c r="C302" t="s">
        <v>181</v>
      </c>
      <c r="D302" s="283">
        <v>664.82</v>
      </c>
      <c r="E302" s="283">
        <v>613.67999999999995</v>
      </c>
      <c r="G302" s="265">
        <v>51.14</v>
      </c>
      <c r="H302" s="265">
        <v>51.14</v>
      </c>
      <c r="I302" s="265">
        <v>0</v>
      </c>
      <c r="J302" s="265">
        <v>102.28</v>
      </c>
      <c r="K302" s="265">
        <v>0</v>
      </c>
      <c r="L302" s="265">
        <v>102.28</v>
      </c>
      <c r="M302" s="265">
        <v>0</v>
      </c>
      <c r="N302" s="265">
        <v>0</v>
      </c>
      <c r="O302" s="265">
        <v>0</v>
      </c>
      <c r="P302" s="265">
        <v>0</v>
      </c>
      <c r="Q302" s="265">
        <v>0</v>
      </c>
      <c r="R302" s="265">
        <v>0</v>
      </c>
      <c r="S302" s="265">
        <f t="shared" si="91"/>
        <v>306.84000000000003</v>
      </c>
      <c r="T302" s="265">
        <v>614</v>
      </c>
      <c r="U302" s="265">
        <f>T302-S302</f>
        <v>307.15999999999997</v>
      </c>
      <c r="V302" s="262">
        <f>S302/T302</f>
        <v>0.49973941368078179</v>
      </c>
      <c r="W302" s="263"/>
    </row>
    <row r="303" spans="1:23" x14ac:dyDescent="0.25">
      <c r="A303" t="s">
        <v>55</v>
      </c>
      <c r="B303" s="290" t="s">
        <v>525</v>
      </c>
      <c r="C303" t="s">
        <v>179</v>
      </c>
      <c r="D303" s="283">
        <v>0</v>
      </c>
      <c r="E303" s="283">
        <v>2645.4</v>
      </c>
      <c r="G303" s="265">
        <v>0</v>
      </c>
      <c r="H303" s="265">
        <v>0</v>
      </c>
      <c r="I303" s="265">
        <v>0</v>
      </c>
      <c r="J303" s="265">
        <v>0</v>
      </c>
      <c r="K303" s="265">
        <v>0</v>
      </c>
      <c r="L303" s="265">
        <v>0</v>
      </c>
      <c r="M303" s="265">
        <v>0</v>
      </c>
      <c r="N303" s="265">
        <v>0</v>
      </c>
      <c r="O303" s="265">
        <v>0</v>
      </c>
      <c r="P303" s="265">
        <v>0</v>
      </c>
      <c r="Q303" s="265">
        <v>0</v>
      </c>
      <c r="R303" s="265">
        <v>0</v>
      </c>
      <c r="S303" s="265">
        <f t="shared" si="91"/>
        <v>0</v>
      </c>
      <c r="T303" s="265">
        <v>2645</v>
      </c>
      <c r="U303" s="265">
        <f>T303-S303</f>
        <v>2645</v>
      </c>
      <c r="V303" s="262">
        <f>S303/T303</f>
        <v>0</v>
      </c>
      <c r="W303" s="263"/>
    </row>
    <row r="304" spans="1:23" ht="15.75" thickBot="1" x14ac:dyDescent="0.3">
      <c r="B304" s="290"/>
      <c r="D304" s="363">
        <v>63684.92</v>
      </c>
      <c r="E304" s="273">
        <v>69767.979999999981</v>
      </c>
      <c r="F304" s="350"/>
      <c r="G304" s="273">
        <f t="shared" ref="G304:S304" si="92">SUM(G300:G303)</f>
        <v>5943.4400000000005</v>
      </c>
      <c r="H304" s="273">
        <f t="shared" si="92"/>
        <v>5905.08</v>
      </c>
      <c r="I304" s="273">
        <f t="shared" si="92"/>
        <v>5177.6999999999971</v>
      </c>
      <c r="J304" s="273">
        <f t="shared" si="92"/>
        <v>6615.9</v>
      </c>
      <c r="K304" s="273">
        <f t="shared" si="92"/>
        <v>5845.6600000000008</v>
      </c>
      <c r="L304" s="273">
        <f t="shared" si="92"/>
        <v>5947.94</v>
      </c>
      <c r="M304" s="273">
        <f t="shared" si="92"/>
        <v>0</v>
      </c>
      <c r="N304" s="273">
        <f t="shared" si="92"/>
        <v>0</v>
      </c>
      <c r="O304" s="273">
        <f t="shared" si="92"/>
        <v>0</v>
      </c>
      <c r="P304" s="273">
        <f t="shared" si="92"/>
        <v>0</v>
      </c>
      <c r="Q304" s="273">
        <f t="shared" si="92"/>
        <v>0</v>
      </c>
      <c r="R304" s="273">
        <f t="shared" si="92"/>
        <v>0</v>
      </c>
      <c r="S304" s="273">
        <f t="shared" si="92"/>
        <v>35435.719999999994</v>
      </c>
      <c r="T304" s="273">
        <f>SUM(T300:T303)</f>
        <v>69768</v>
      </c>
      <c r="U304" s="273">
        <f>SUM(U300:U303)</f>
        <v>34332.28</v>
      </c>
      <c r="V304" s="272">
        <f>S304/T304</f>
        <v>0.50790792340327939</v>
      </c>
    </row>
    <row r="305" spans="1:23" ht="15.75" thickTop="1" x14ac:dyDescent="0.25">
      <c r="A305" t="s">
        <v>174</v>
      </c>
      <c r="B305" s="290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W305" s="263"/>
    </row>
    <row r="306" spans="1:23" x14ac:dyDescent="0.25">
      <c r="A306" t="s">
        <v>55</v>
      </c>
      <c r="B306" s="290" t="s">
        <v>524</v>
      </c>
      <c r="C306" t="s">
        <v>168</v>
      </c>
      <c r="D306" s="283">
        <v>5479.06</v>
      </c>
      <c r="E306" s="283">
        <v>6500</v>
      </c>
      <c r="G306" s="265">
        <v>19.470000000000027</v>
      </c>
      <c r="H306" s="265">
        <v>1225.82</v>
      </c>
      <c r="I306" s="265">
        <v>132.60999999999996</v>
      </c>
      <c r="J306" s="265">
        <v>122.41</v>
      </c>
      <c r="K306" s="265">
        <v>0</v>
      </c>
      <c r="L306" s="265">
        <v>967.97</v>
      </c>
      <c r="M306" s="265">
        <v>0</v>
      </c>
      <c r="N306" s="265">
        <v>0</v>
      </c>
      <c r="O306" s="265">
        <v>0</v>
      </c>
      <c r="P306" s="265">
        <v>0</v>
      </c>
      <c r="Q306" s="265">
        <v>0</v>
      </c>
      <c r="R306" s="265">
        <v>0</v>
      </c>
      <c r="S306" s="265">
        <f>SUM(G306:R306)</f>
        <v>2468.2799999999997</v>
      </c>
      <c r="T306" s="265">
        <v>6500</v>
      </c>
      <c r="U306" s="265">
        <f>T306-S306</f>
        <v>4031.7200000000003</v>
      </c>
      <c r="V306" s="262">
        <f t="shared" ref="V306:V311" si="93">S306/T306</f>
        <v>0.37973538461538459</v>
      </c>
      <c r="W306" s="263"/>
    </row>
    <row r="307" spans="1:23" x14ac:dyDescent="0.25">
      <c r="A307" t="s">
        <v>55</v>
      </c>
      <c r="B307" s="290" t="s">
        <v>523</v>
      </c>
      <c r="C307" t="s">
        <v>292</v>
      </c>
      <c r="D307" s="283">
        <v>2348.75</v>
      </c>
      <c r="E307" s="283">
        <v>5000</v>
      </c>
      <c r="G307" s="265">
        <v>121.84</v>
      </c>
      <c r="H307" s="265">
        <f>97.66+30.46</f>
        <v>128.12</v>
      </c>
      <c r="I307" s="265">
        <v>168.92000000000002</v>
      </c>
      <c r="J307" s="265">
        <v>142.18</v>
      </c>
      <c r="K307" s="265">
        <v>135.88</v>
      </c>
      <c r="L307" s="265">
        <v>100.8</v>
      </c>
      <c r="M307" s="265">
        <v>0</v>
      </c>
      <c r="N307" s="265">
        <v>0</v>
      </c>
      <c r="O307" s="265">
        <v>0</v>
      </c>
      <c r="P307" s="265">
        <v>0</v>
      </c>
      <c r="Q307" s="265">
        <v>0</v>
      </c>
      <c r="R307" s="265">
        <v>0</v>
      </c>
      <c r="S307" s="265">
        <f>SUM(G307:R307)</f>
        <v>797.7399999999999</v>
      </c>
      <c r="T307" s="265">
        <v>5000</v>
      </c>
      <c r="U307" s="265">
        <f>T307-S307</f>
        <v>4202.26</v>
      </c>
      <c r="V307" s="262">
        <f t="shared" si="93"/>
        <v>0.15954799999999997</v>
      </c>
      <c r="W307" s="263"/>
    </row>
    <row r="308" spans="1:23" x14ac:dyDescent="0.25">
      <c r="A308" t="s">
        <v>55</v>
      </c>
      <c r="B308" s="290" t="s">
        <v>522</v>
      </c>
      <c r="C308" t="s">
        <v>166</v>
      </c>
      <c r="D308" s="283">
        <v>5932.56</v>
      </c>
      <c r="E308" s="283">
        <v>3000</v>
      </c>
      <c r="G308" s="265">
        <v>0</v>
      </c>
      <c r="H308" s="265">
        <v>810.46</v>
      </c>
      <c r="I308" s="265">
        <v>0</v>
      </c>
      <c r="J308" s="265">
        <v>0</v>
      </c>
      <c r="K308" s="265">
        <v>84.639999999999986</v>
      </c>
      <c r="L308" s="265">
        <v>91.48</v>
      </c>
      <c r="M308" s="265">
        <v>0</v>
      </c>
      <c r="N308" s="265">
        <v>0</v>
      </c>
      <c r="O308" s="265">
        <v>0</v>
      </c>
      <c r="P308" s="265">
        <v>0</v>
      </c>
      <c r="Q308" s="265">
        <v>0</v>
      </c>
      <c r="R308" s="265">
        <v>0</v>
      </c>
      <c r="S308" s="265">
        <f>SUM(G308:R308)</f>
        <v>986.58</v>
      </c>
      <c r="T308" s="265">
        <v>3000</v>
      </c>
      <c r="U308" s="265">
        <f>T308-S308</f>
        <v>2013.42</v>
      </c>
      <c r="V308" s="262">
        <f t="shared" si="93"/>
        <v>0.32886000000000004</v>
      </c>
      <c r="W308" s="263"/>
    </row>
    <row r="309" spans="1:23" x14ac:dyDescent="0.25">
      <c r="A309" t="s">
        <v>55</v>
      </c>
      <c r="B309" s="290" t="s">
        <v>521</v>
      </c>
      <c r="C309" t="s">
        <v>520</v>
      </c>
      <c r="D309" s="283">
        <v>0</v>
      </c>
      <c r="E309" s="283">
        <v>750</v>
      </c>
      <c r="G309" s="265">
        <v>0</v>
      </c>
      <c r="H309" s="265">
        <v>0</v>
      </c>
      <c r="I309" s="265">
        <v>0</v>
      </c>
      <c r="J309" s="265">
        <v>0</v>
      </c>
      <c r="K309" s="265">
        <v>0</v>
      </c>
      <c r="L309" s="265">
        <v>0</v>
      </c>
      <c r="M309" s="265">
        <v>0</v>
      </c>
      <c r="N309" s="265">
        <v>0</v>
      </c>
      <c r="O309" s="265">
        <v>0</v>
      </c>
      <c r="P309" s="265">
        <v>0</v>
      </c>
      <c r="Q309" s="265">
        <v>0</v>
      </c>
      <c r="R309" s="265">
        <v>0</v>
      </c>
      <c r="S309" s="265">
        <f>SUM(G309:R309)</f>
        <v>0</v>
      </c>
      <c r="T309" s="265">
        <v>500</v>
      </c>
      <c r="U309" s="265">
        <f>T309-S309</f>
        <v>500</v>
      </c>
      <c r="V309" s="262">
        <f t="shared" si="93"/>
        <v>0</v>
      </c>
      <c r="W309" s="263"/>
    </row>
    <row r="310" spans="1:23" x14ac:dyDescent="0.25">
      <c r="A310" t="s">
        <v>55</v>
      </c>
      <c r="B310" s="290" t="s">
        <v>519</v>
      </c>
      <c r="C310" t="s">
        <v>518</v>
      </c>
      <c r="D310" s="283">
        <v>0</v>
      </c>
      <c r="E310" s="283">
        <v>250</v>
      </c>
      <c r="G310" s="265">
        <v>0</v>
      </c>
      <c r="H310" s="265">
        <v>0</v>
      </c>
      <c r="I310" s="265">
        <v>0</v>
      </c>
      <c r="J310" s="265">
        <v>0</v>
      </c>
      <c r="K310" s="265">
        <v>0</v>
      </c>
      <c r="L310" s="265">
        <v>0</v>
      </c>
      <c r="M310" s="265">
        <v>0</v>
      </c>
      <c r="N310" s="265">
        <v>0</v>
      </c>
      <c r="O310" s="265">
        <v>0</v>
      </c>
      <c r="P310" s="265">
        <v>0</v>
      </c>
      <c r="Q310" s="265">
        <v>0</v>
      </c>
      <c r="R310" s="265">
        <v>0</v>
      </c>
      <c r="S310" s="265">
        <f>SUM(G310:R310)</f>
        <v>0</v>
      </c>
      <c r="T310" s="265">
        <v>250</v>
      </c>
      <c r="U310" s="265">
        <f>T310-S310</f>
        <v>250</v>
      </c>
      <c r="V310" s="262">
        <f t="shared" si="93"/>
        <v>0</v>
      </c>
      <c r="W310" s="263"/>
    </row>
    <row r="311" spans="1:23" ht="15.75" thickBot="1" x14ac:dyDescent="0.3">
      <c r="A311" t="s">
        <v>55</v>
      </c>
      <c r="D311" s="363">
        <v>13760.37</v>
      </c>
      <c r="E311" s="273">
        <v>15500</v>
      </c>
      <c r="F311" s="350"/>
      <c r="G311" s="273">
        <f t="shared" ref="G311:S311" si="94">SUM(G306:G310)</f>
        <v>141.31000000000003</v>
      </c>
      <c r="H311" s="273">
        <f t="shared" si="94"/>
        <v>2164.4</v>
      </c>
      <c r="I311" s="273">
        <f t="shared" si="94"/>
        <v>301.52999999999997</v>
      </c>
      <c r="J311" s="273">
        <f t="shared" si="94"/>
        <v>264.59000000000003</v>
      </c>
      <c r="K311" s="273">
        <f t="shared" si="94"/>
        <v>220.51999999999998</v>
      </c>
      <c r="L311" s="273">
        <f t="shared" si="94"/>
        <v>1160.25</v>
      </c>
      <c r="M311" s="273">
        <f t="shared" si="94"/>
        <v>0</v>
      </c>
      <c r="N311" s="273">
        <f t="shared" si="94"/>
        <v>0</v>
      </c>
      <c r="O311" s="273">
        <f t="shared" si="94"/>
        <v>0</v>
      </c>
      <c r="P311" s="273">
        <f t="shared" si="94"/>
        <v>0</v>
      </c>
      <c r="Q311" s="273">
        <f t="shared" si="94"/>
        <v>0</v>
      </c>
      <c r="R311" s="273">
        <f t="shared" si="94"/>
        <v>0</v>
      </c>
      <c r="S311" s="273">
        <f t="shared" si="94"/>
        <v>4252.5999999999995</v>
      </c>
      <c r="T311" s="273">
        <f>SUM(T306:T310)</f>
        <v>15250</v>
      </c>
      <c r="U311" s="273">
        <f>SUM(U306:U310)</f>
        <v>10997.4</v>
      </c>
      <c r="V311" s="272">
        <f t="shared" si="93"/>
        <v>0.27885901639344257</v>
      </c>
    </row>
    <row r="312" spans="1:23" ht="15.75" thickTop="1" x14ac:dyDescent="0.25">
      <c r="G312" s="265"/>
      <c r="H312" s="265"/>
      <c r="I312" s="263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</row>
    <row r="313" spans="1:23" x14ac:dyDescent="0.25">
      <c r="A313" t="s">
        <v>145</v>
      </c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W313" s="263"/>
    </row>
    <row r="314" spans="1:23" x14ac:dyDescent="0.25">
      <c r="A314" t="s">
        <v>55</v>
      </c>
      <c r="B314" s="290" t="s">
        <v>517</v>
      </c>
      <c r="C314" t="s">
        <v>272</v>
      </c>
      <c r="D314" s="283">
        <v>0</v>
      </c>
      <c r="E314" s="283">
        <v>0</v>
      </c>
      <c r="G314" s="265">
        <v>0</v>
      </c>
      <c r="H314" s="265">
        <v>0</v>
      </c>
      <c r="I314" s="265">
        <v>0</v>
      </c>
      <c r="J314" s="265">
        <v>0</v>
      </c>
      <c r="K314" s="265">
        <v>0</v>
      </c>
      <c r="L314" s="265">
        <v>0</v>
      </c>
      <c r="M314" s="265">
        <v>0</v>
      </c>
      <c r="N314" s="265">
        <v>0</v>
      </c>
      <c r="O314" s="265">
        <v>0</v>
      </c>
      <c r="P314" s="265">
        <v>0</v>
      </c>
      <c r="Q314" s="265">
        <v>0</v>
      </c>
      <c r="R314" s="265">
        <v>0</v>
      </c>
      <c r="S314" s="265">
        <f>SUM(G314:R314)</f>
        <v>0</v>
      </c>
      <c r="T314" s="265">
        <v>0</v>
      </c>
      <c r="U314" s="265">
        <f>T314-S314</f>
        <v>0</v>
      </c>
      <c r="V314" s="262">
        <v>0</v>
      </c>
      <c r="W314" s="263"/>
    </row>
    <row r="315" spans="1:23" x14ac:dyDescent="0.25">
      <c r="A315" t="s">
        <v>55</v>
      </c>
      <c r="B315" s="290" t="s">
        <v>516</v>
      </c>
      <c r="C315" t="s">
        <v>270</v>
      </c>
      <c r="D315" s="283">
        <v>0</v>
      </c>
      <c r="E315" s="283">
        <v>7500</v>
      </c>
      <c r="G315" s="265">
        <v>0</v>
      </c>
      <c r="H315" s="265">
        <v>0</v>
      </c>
      <c r="I315" s="265">
        <v>0</v>
      </c>
      <c r="J315" s="265">
        <v>0</v>
      </c>
      <c r="K315" s="265">
        <v>0</v>
      </c>
      <c r="L315" s="265">
        <v>0</v>
      </c>
      <c r="M315" s="265">
        <v>0</v>
      </c>
      <c r="N315" s="265">
        <v>0</v>
      </c>
      <c r="O315" s="265">
        <v>0</v>
      </c>
      <c r="P315" s="265">
        <v>0</v>
      </c>
      <c r="Q315" s="265">
        <v>0</v>
      </c>
      <c r="R315" s="265">
        <v>0</v>
      </c>
      <c r="S315" s="265">
        <f>SUM(G315:R315)</f>
        <v>0</v>
      </c>
      <c r="T315" s="265">
        <v>2500</v>
      </c>
      <c r="U315" s="265">
        <f>T315-S315</f>
        <v>2500</v>
      </c>
      <c r="V315" s="262">
        <f>S315/T315</f>
        <v>0</v>
      </c>
      <c r="W315" s="263"/>
    </row>
    <row r="316" spans="1:23" x14ac:dyDescent="0.25">
      <c r="A316" t="s">
        <v>55</v>
      </c>
      <c r="B316" s="290" t="s">
        <v>515</v>
      </c>
      <c r="C316" t="s">
        <v>141</v>
      </c>
      <c r="D316" s="283">
        <v>6940</v>
      </c>
      <c r="E316" s="283">
        <v>15000</v>
      </c>
      <c r="G316" s="265">
        <v>0</v>
      </c>
      <c r="H316" s="265">
        <v>0</v>
      </c>
      <c r="I316" s="265">
        <v>0</v>
      </c>
      <c r="J316" s="265">
        <v>0</v>
      </c>
      <c r="K316" s="265">
        <v>0</v>
      </c>
      <c r="L316" s="265">
        <v>0</v>
      </c>
      <c r="M316" s="265">
        <v>0</v>
      </c>
      <c r="N316" s="265">
        <v>0</v>
      </c>
      <c r="O316" s="265">
        <v>0</v>
      </c>
      <c r="P316" s="265">
        <v>0</v>
      </c>
      <c r="Q316" s="265">
        <v>0</v>
      </c>
      <c r="R316" s="265">
        <v>0</v>
      </c>
      <c r="S316" s="265">
        <f>SUM(G316:R316)</f>
        <v>0</v>
      </c>
      <c r="T316" s="265">
        <v>5000</v>
      </c>
      <c r="U316" s="265">
        <f>T316-S316</f>
        <v>5000</v>
      </c>
      <c r="V316" s="262">
        <f>S316/T316</f>
        <v>0</v>
      </c>
    </row>
    <row r="317" spans="1:23" ht="15.75" thickBot="1" x14ac:dyDescent="0.3">
      <c r="D317" s="363">
        <v>6940</v>
      </c>
      <c r="E317" s="273">
        <v>22500</v>
      </c>
      <c r="F317" s="350"/>
      <c r="G317" s="273">
        <f t="shared" ref="G317:U317" si="95">SUM(G314:G316)</f>
        <v>0</v>
      </c>
      <c r="H317" s="273">
        <f t="shared" si="95"/>
        <v>0</v>
      </c>
      <c r="I317" s="273">
        <f t="shared" si="95"/>
        <v>0</v>
      </c>
      <c r="J317" s="273">
        <f t="shared" si="95"/>
        <v>0</v>
      </c>
      <c r="K317" s="273">
        <f t="shared" si="95"/>
        <v>0</v>
      </c>
      <c r="L317" s="273">
        <f t="shared" si="95"/>
        <v>0</v>
      </c>
      <c r="M317" s="273">
        <f t="shared" si="95"/>
        <v>0</v>
      </c>
      <c r="N317" s="273">
        <f t="shared" si="95"/>
        <v>0</v>
      </c>
      <c r="O317" s="273">
        <f t="shared" si="95"/>
        <v>0</v>
      </c>
      <c r="P317" s="273">
        <f t="shared" si="95"/>
        <v>0</v>
      </c>
      <c r="Q317" s="273">
        <f t="shared" si="95"/>
        <v>0</v>
      </c>
      <c r="R317" s="273">
        <f t="shared" si="95"/>
        <v>0</v>
      </c>
      <c r="S317" s="273">
        <f t="shared" si="95"/>
        <v>0</v>
      </c>
      <c r="T317" s="273">
        <f t="shared" si="95"/>
        <v>7500</v>
      </c>
      <c r="U317" s="273">
        <f t="shared" si="95"/>
        <v>7500</v>
      </c>
      <c r="V317" s="272">
        <f>S317/T317</f>
        <v>0</v>
      </c>
    </row>
    <row r="318" spans="1:23" ht="15.75" thickTop="1" x14ac:dyDescent="0.25"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W318" s="263"/>
    </row>
    <row r="319" spans="1:23" ht="17.25" x14ac:dyDescent="0.3">
      <c r="C319" s="271" t="s">
        <v>514</v>
      </c>
      <c r="D319" s="366">
        <v>427050.21000000008</v>
      </c>
      <c r="E319" s="270">
        <v>435803.62</v>
      </c>
      <c r="F319" s="355"/>
      <c r="G319" s="270">
        <f t="shared" ref="G319:U319" si="96">G317+G311+G304+G276+G298</f>
        <v>42367.539999999994</v>
      </c>
      <c r="H319" s="270">
        <f t="shared" si="96"/>
        <v>40710.080000000002</v>
      </c>
      <c r="I319" s="270">
        <f t="shared" si="96"/>
        <v>38347.750047763759</v>
      </c>
      <c r="J319" s="270">
        <f t="shared" si="96"/>
        <v>42474.672721578099</v>
      </c>
      <c r="K319" s="270">
        <f t="shared" si="96"/>
        <v>28645.849999999995</v>
      </c>
      <c r="L319" s="270">
        <f t="shared" si="96"/>
        <v>23981.46</v>
      </c>
      <c r="M319" s="270">
        <f t="shared" si="96"/>
        <v>0</v>
      </c>
      <c r="N319" s="270">
        <f t="shared" si="96"/>
        <v>0</v>
      </c>
      <c r="O319" s="270">
        <f t="shared" si="96"/>
        <v>0</v>
      </c>
      <c r="P319" s="270">
        <f t="shared" si="96"/>
        <v>0</v>
      </c>
      <c r="Q319" s="270">
        <f t="shared" si="96"/>
        <v>0</v>
      </c>
      <c r="R319" s="270">
        <f t="shared" si="96"/>
        <v>0</v>
      </c>
      <c r="S319" s="270">
        <f t="shared" si="96"/>
        <v>216527.35276934181</v>
      </c>
      <c r="T319" s="270">
        <f t="shared" si="96"/>
        <v>435538.74</v>
      </c>
      <c r="U319" s="270">
        <f t="shared" si="96"/>
        <v>219011.38723065815</v>
      </c>
      <c r="V319" s="269">
        <f>S319/T319</f>
        <v>0.49714831973234302</v>
      </c>
      <c r="W319" s="263"/>
    </row>
    <row r="320" spans="1:23" x14ac:dyDescent="0.25"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</row>
    <row r="321" spans="1:23" x14ac:dyDescent="0.25"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</row>
    <row r="322" spans="1:23" ht="15.75" thickBot="1" x14ac:dyDescent="0.3"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</row>
    <row r="323" spans="1:23" ht="15.75" thickBot="1" x14ac:dyDescent="0.3">
      <c r="A323" s="13" t="s">
        <v>513</v>
      </c>
      <c r="G323" s="387" t="s">
        <v>253</v>
      </c>
      <c r="H323" s="388"/>
      <c r="I323" s="388"/>
      <c r="J323" s="388"/>
      <c r="K323" s="388"/>
      <c r="L323" s="388"/>
      <c r="M323" s="388"/>
      <c r="N323" s="388"/>
      <c r="O323" s="388"/>
      <c r="P323" s="388"/>
      <c r="Q323" s="388"/>
      <c r="R323" s="388"/>
      <c r="S323" s="389"/>
      <c r="T323" s="265"/>
      <c r="U323" s="280" t="s">
        <v>252</v>
      </c>
    </row>
    <row r="324" spans="1:23" x14ac:dyDescent="0.25">
      <c r="A324" t="s">
        <v>251</v>
      </c>
      <c r="D324" s="361" t="s">
        <v>954</v>
      </c>
      <c r="E324" s="373" t="s">
        <v>956</v>
      </c>
      <c r="G324" s="279" t="s">
        <v>868</v>
      </c>
      <c r="H324" s="279" t="s">
        <v>869</v>
      </c>
      <c r="I324" s="279" t="s">
        <v>870</v>
      </c>
      <c r="J324" s="279" t="s">
        <v>871</v>
      </c>
      <c r="K324" s="279" t="s">
        <v>872</v>
      </c>
      <c r="L324" s="279" t="s">
        <v>873</v>
      </c>
      <c r="M324" s="279" t="s">
        <v>874</v>
      </c>
      <c r="N324" s="279" t="s">
        <v>875</v>
      </c>
      <c r="O324" s="279" t="s">
        <v>876</v>
      </c>
      <c r="P324" s="279" t="s">
        <v>877</v>
      </c>
      <c r="Q324" s="279" t="s">
        <v>878</v>
      </c>
      <c r="R324" s="279" t="s">
        <v>879</v>
      </c>
      <c r="S324" s="278" t="s">
        <v>250</v>
      </c>
      <c r="T324" s="309" t="s">
        <v>880</v>
      </c>
      <c r="U324" s="277" t="s">
        <v>249</v>
      </c>
      <c r="V324" s="276" t="s">
        <v>248</v>
      </c>
      <c r="W324" s="263"/>
    </row>
    <row r="325" spans="1:23" x14ac:dyDescent="0.25">
      <c r="A325" t="s">
        <v>55</v>
      </c>
      <c r="B325" t="s">
        <v>512</v>
      </c>
      <c r="C325" t="s">
        <v>406</v>
      </c>
      <c r="D325" s="283">
        <v>117805.68</v>
      </c>
      <c r="E325" s="283">
        <v>116462</v>
      </c>
      <c r="G325" s="265">
        <v>10299.16</v>
      </c>
      <c r="H325" s="265">
        <v>10299.16</v>
      </c>
      <c r="I325" s="265">
        <v>10299.16</v>
      </c>
      <c r="J325" s="265">
        <v>10299.16</v>
      </c>
      <c r="K325" s="265">
        <v>10299.16</v>
      </c>
      <c r="L325" s="265">
        <v>10299.16</v>
      </c>
      <c r="M325" s="265">
        <v>0</v>
      </c>
      <c r="N325" s="265">
        <v>0</v>
      </c>
      <c r="O325" s="265">
        <v>0</v>
      </c>
      <c r="P325" s="265">
        <v>0</v>
      </c>
      <c r="Q325" s="265">
        <v>0</v>
      </c>
      <c r="R325" s="265">
        <v>0</v>
      </c>
      <c r="S325" s="265">
        <f t="shared" ref="S325:S348" si="97">SUM(G325:R325)</f>
        <v>61794.960000000006</v>
      </c>
      <c r="T325" s="265">
        <v>123590.36</v>
      </c>
      <c r="U325" s="265">
        <f t="shared" ref="U325:U348" si="98">T325-S325</f>
        <v>61795.399999999994</v>
      </c>
      <c r="V325" s="262">
        <f>S325/T325</f>
        <v>0.49999821992589072</v>
      </c>
      <c r="W325" s="263"/>
    </row>
    <row r="326" spans="1:23" x14ac:dyDescent="0.25">
      <c r="B326" t="s">
        <v>947</v>
      </c>
      <c r="C326" t="s">
        <v>402</v>
      </c>
      <c r="D326" s="283">
        <v>0</v>
      </c>
      <c r="E326" s="283">
        <v>0</v>
      </c>
      <c r="G326" s="265">
        <v>0</v>
      </c>
      <c r="H326" s="265">
        <v>0</v>
      </c>
      <c r="I326" s="265">
        <v>0</v>
      </c>
      <c r="J326" s="265">
        <v>0</v>
      </c>
      <c r="K326" s="265">
        <v>0</v>
      </c>
      <c r="L326" s="265">
        <v>1010.07</v>
      </c>
      <c r="M326" s="265"/>
      <c r="N326" s="265"/>
      <c r="O326" s="265"/>
      <c r="P326" s="265"/>
      <c r="Q326" s="265"/>
      <c r="R326" s="265"/>
      <c r="S326" s="265">
        <f t="shared" si="97"/>
        <v>1010.07</v>
      </c>
      <c r="T326" s="265">
        <v>0</v>
      </c>
      <c r="U326" s="265">
        <f t="shared" ref="U326" si="99">T326-S326</f>
        <v>-1010.07</v>
      </c>
      <c r="V326" s="262">
        <v>0</v>
      </c>
      <c r="W326" s="263"/>
    </row>
    <row r="327" spans="1:23" x14ac:dyDescent="0.25">
      <c r="A327" t="s">
        <v>55</v>
      </c>
      <c r="B327" t="s">
        <v>511</v>
      </c>
      <c r="C327" t="s">
        <v>398</v>
      </c>
      <c r="D327" s="283">
        <v>112052.16</v>
      </c>
      <c r="E327" s="283">
        <v>106943.94</v>
      </c>
      <c r="G327" s="265">
        <v>9634.869999999999</v>
      </c>
      <c r="H327" s="265">
        <v>9457.5</v>
      </c>
      <c r="I327" s="265">
        <v>9457.5</v>
      </c>
      <c r="J327" s="265">
        <v>9457.5</v>
      </c>
      <c r="K327" s="265">
        <v>9457.5</v>
      </c>
      <c r="L327" s="265">
        <v>9457.5</v>
      </c>
      <c r="M327" s="265">
        <v>0</v>
      </c>
      <c r="N327" s="265">
        <v>0</v>
      </c>
      <c r="O327" s="265">
        <v>0</v>
      </c>
      <c r="P327" s="265">
        <v>0</v>
      </c>
      <c r="Q327" s="265">
        <v>0</v>
      </c>
      <c r="R327" s="265">
        <v>0</v>
      </c>
      <c r="S327" s="265">
        <f t="shared" si="97"/>
        <v>56922.369999999995</v>
      </c>
      <c r="T327" s="265">
        <v>113489.77</v>
      </c>
      <c r="U327" s="265">
        <f t="shared" si="98"/>
        <v>56567.400000000009</v>
      </c>
      <c r="V327" s="262">
        <f>S327/T327</f>
        <v>0.50156388544976338</v>
      </c>
      <c r="W327" s="263"/>
    </row>
    <row r="328" spans="1:23" x14ac:dyDescent="0.25">
      <c r="A328" t="s">
        <v>55</v>
      </c>
      <c r="B328" t="s">
        <v>510</v>
      </c>
      <c r="C328" t="s">
        <v>509</v>
      </c>
      <c r="D328" s="283">
        <v>301454.42</v>
      </c>
      <c r="E328" s="283">
        <v>294611.40000000002</v>
      </c>
      <c r="G328" s="265">
        <v>24598.149999999994</v>
      </c>
      <c r="H328" s="265">
        <v>26648.79</v>
      </c>
      <c r="I328" s="265">
        <v>26959.73</v>
      </c>
      <c r="J328" s="265">
        <f>12771.39+16835.27-2627.25</f>
        <v>26979.41</v>
      </c>
      <c r="K328" s="265">
        <v>16096.48</v>
      </c>
      <c r="L328" s="265">
        <v>18930.37</v>
      </c>
      <c r="M328" s="265">
        <v>0</v>
      </c>
      <c r="N328" s="265">
        <v>0</v>
      </c>
      <c r="O328" s="265">
        <v>0</v>
      </c>
      <c r="P328" s="265">
        <v>0</v>
      </c>
      <c r="Q328" s="265">
        <v>0</v>
      </c>
      <c r="R328" s="265">
        <v>0</v>
      </c>
      <c r="S328" s="265">
        <f t="shared" si="97"/>
        <v>140212.93</v>
      </c>
      <c r="T328" s="265">
        <v>312643.99</v>
      </c>
      <c r="U328" s="265">
        <f t="shared" si="98"/>
        <v>172431.06</v>
      </c>
      <c r="V328" s="262">
        <f>S328/T328</f>
        <v>0.44847473319413561</v>
      </c>
      <c r="W328" s="263"/>
    </row>
    <row r="329" spans="1:23" x14ac:dyDescent="0.25">
      <c r="A329" t="s">
        <v>55</v>
      </c>
      <c r="B329" t="s">
        <v>508</v>
      </c>
      <c r="C329" t="s">
        <v>507</v>
      </c>
      <c r="D329" s="283">
        <v>17711.07</v>
      </c>
      <c r="E329" s="283">
        <v>0</v>
      </c>
      <c r="G329" s="265">
        <v>0</v>
      </c>
      <c r="H329" s="265">
        <v>0</v>
      </c>
      <c r="I329" s="265">
        <v>0</v>
      </c>
      <c r="J329" s="265">
        <v>0</v>
      </c>
      <c r="K329" s="265">
        <v>6612.41</v>
      </c>
      <c r="L329" s="265">
        <v>6612.41</v>
      </c>
      <c r="M329" s="265">
        <v>0</v>
      </c>
      <c r="N329" s="265">
        <v>0</v>
      </c>
      <c r="O329" s="265">
        <v>0</v>
      </c>
      <c r="P329" s="265">
        <v>0</v>
      </c>
      <c r="Q329" s="265">
        <v>0</v>
      </c>
      <c r="R329" s="265">
        <v>0</v>
      </c>
      <c r="S329" s="265">
        <f t="shared" si="97"/>
        <v>13224.82</v>
      </c>
      <c r="T329" s="265">
        <v>0</v>
      </c>
      <c r="U329" s="265">
        <f t="shared" si="98"/>
        <v>-13224.82</v>
      </c>
      <c r="V329" s="262">
        <v>0</v>
      </c>
      <c r="W329" s="263"/>
    </row>
    <row r="330" spans="1:23" x14ac:dyDescent="0.25">
      <c r="A330" t="s">
        <v>55</v>
      </c>
      <c r="B330" t="s">
        <v>506</v>
      </c>
      <c r="C330" t="s">
        <v>505</v>
      </c>
      <c r="D330" s="283">
        <v>8171.55</v>
      </c>
      <c r="E330" s="283">
        <v>0</v>
      </c>
      <c r="G330" s="265">
        <v>0</v>
      </c>
      <c r="H330" s="265">
        <v>0</v>
      </c>
      <c r="I330" s="265">
        <v>0</v>
      </c>
      <c r="J330" s="265">
        <v>0</v>
      </c>
      <c r="K330" s="265">
        <v>4723.1499999999996</v>
      </c>
      <c r="L330" s="265">
        <v>2833.89</v>
      </c>
      <c r="M330" s="265">
        <v>0</v>
      </c>
      <c r="N330" s="265">
        <v>0</v>
      </c>
      <c r="O330" s="265">
        <v>0</v>
      </c>
      <c r="P330" s="265">
        <v>0</v>
      </c>
      <c r="Q330" s="265">
        <v>0</v>
      </c>
      <c r="R330" s="265">
        <v>0</v>
      </c>
      <c r="S330" s="265">
        <f t="shared" si="97"/>
        <v>7557.0399999999991</v>
      </c>
      <c r="T330" s="265">
        <v>0</v>
      </c>
      <c r="U330" s="265">
        <f t="shared" si="98"/>
        <v>-7557.0399999999991</v>
      </c>
      <c r="V330" s="262">
        <v>0</v>
      </c>
      <c r="W330" s="263"/>
    </row>
    <row r="331" spans="1:23" x14ac:dyDescent="0.25">
      <c r="A331" t="s">
        <v>55</v>
      </c>
      <c r="B331" t="s">
        <v>504</v>
      </c>
      <c r="C331" t="s">
        <v>390</v>
      </c>
      <c r="D331" s="283">
        <v>153083.87</v>
      </c>
      <c r="E331" s="283">
        <v>180355.92</v>
      </c>
      <c r="G331" s="265">
        <v>15949.57</v>
      </c>
      <c r="H331" s="265">
        <v>17788.150000000001</v>
      </c>
      <c r="I331" s="265">
        <v>7974.79</v>
      </c>
      <c r="J331" s="265">
        <f>3987.39+4420.56-248.84</f>
        <v>8159.1100000000006</v>
      </c>
      <c r="K331" s="265">
        <v>8859.56</v>
      </c>
      <c r="L331" s="265">
        <v>7974.78</v>
      </c>
      <c r="M331" s="265">
        <v>0</v>
      </c>
      <c r="N331" s="265">
        <v>0</v>
      </c>
      <c r="O331" s="265">
        <v>0</v>
      </c>
      <c r="P331" s="265">
        <v>0</v>
      </c>
      <c r="Q331" s="265">
        <v>0</v>
      </c>
      <c r="R331" s="265">
        <v>0</v>
      </c>
      <c r="S331" s="265">
        <f t="shared" si="97"/>
        <v>66705.960000000006</v>
      </c>
      <c r="T331" s="265">
        <v>191395.16</v>
      </c>
      <c r="U331" s="265">
        <f t="shared" si="98"/>
        <v>124689.2</v>
      </c>
      <c r="V331" s="262">
        <f>S331/T331</f>
        <v>0.34852480073163816</v>
      </c>
      <c r="W331" s="263"/>
    </row>
    <row r="332" spans="1:23" x14ac:dyDescent="0.25">
      <c r="A332" t="s">
        <v>55</v>
      </c>
      <c r="B332" t="s">
        <v>503</v>
      </c>
      <c r="C332" t="s">
        <v>388</v>
      </c>
      <c r="D332" s="283">
        <v>12506.23</v>
      </c>
      <c r="E332" s="283">
        <v>0</v>
      </c>
      <c r="G332" s="265">
        <v>0</v>
      </c>
      <c r="H332" s="265">
        <v>0</v>
      </c>
      <c r="I332" s="265">
        <v>0</v>
      </c>
      <c r="J332" s="265">
        <v>0</v>
      </c>
      <c r="K332" s="265">
        <v>0</v>
      </c>
      <c r="L332" s="265">
        <v>0</v>
      </c>
      <c r="M332" s="265">
        <v>0</v>
      </c>
      <c r="N332" s="265">
        <v>0</v>
      </c>
      <c r="O332" s="265">
        <v>0</v>
      </c>
      <c r="P332" s="265">
        <v>0</v>
      </c>
      <c r="Q332" s="265">
        <v>0</v>
      </c>
      <c r="R332" s="265">
        <v>0</v>
      </c>
      <c r="S332" s="265">
        <f t="shared" si="97"/>
        <v>0</v>
      </c>
      <c r="T332" s="265">
        <v>0</v>
      </c>
      <c r="U332" s="265">
        <f t="shared" si="98"/>
        <v>0</v>
      </c>
      <c r="V332" s="262">
        <v>0</v>
      </c>
      <c r="W332" s="263"/>
    </row>
    <row r="333" spans="1:23" x14ac:dyDescent="0.25">
      <c r="B333" t="s">
        <v>890</v>
      </c>
      <c r="C333" t="s">
        <v>891</v>
      </c>
      <c r="D333" s="283">
        <v>0</v>
      </c>
      <c r="E333" s="283">
        <v>0</v>
      </c>
      <c r="G333" s="265">
        <v>0</v>
      </c>
      <c r="H333" s="265">
        <v>0</v>
      </c>
      <c r="I333" s="265">
        <v>0</v>
      </c>
      <c r="J333" s="265">
        <v>0</v>
      </c>
      <c r="K333" s="265">
        <v>0</v>
      </c>
      <c r="L333" s="265">
        <v>0</v>
      </c>
      <c r="M333" s="265">
        <v>0</v>
      </c>
      <c r="N333" s="265">
        <v>0</v>
      </c>
      <c r="O333" s="265">
        <v>0</v>
      </c>
      <c r="P333" s="265">
        <v>0</v>
      </c>
      <c r="Q333" s="265">
        <v>0</v>
      </c>
      <c r="R333" s="265">
        <v>0</v>
      </c>
      <c r="S333" s="265">
        <v>0</v>
      </c>
      <c r="T333" s="265">
        <v>8000</v>
      </c>
      <c r="U333" s="265">
        <f t="shared" si="98"/>
        <v>8000</v>
      </c>
      <c r="V333" s="262">
        <f>S333/T333</f>
        <v>0</v>
      </c>
      <c r="W333" s="263"/>
    </row>
    <row r="334" spans="1:23" x14ac:dyDescent="0.25">
      <c r="A334" t="s">
        <v>55</v>
      </c>
      <c r="B334" t="s">
        <v>502</v>
      </c>
      <c r="C334" t="s">
        <v>354</v>
      </c>
      <c r="D334" s="283">
        <v>0</v>
      </c>
      <c r="E334" s="283">
        <v>95000</v>
      </c>
      <c r="G334" s="265">
        <v>0</v>
      </c>
      <c r="H334" s="265">
        <v>0</v>
      </c>
      <c r="I334" s="265">
        <v>0</v>
      </c>
      <c r="J334" s="265">
        <v>294.93000000000029</v>
      </c>
      <c r="K334" s="265">
        <v>2151.91</v>
      </c>
      <c r="L334" s="265">
        <v>0</v>
      </c>
      <c r="M334" s="265">
        <v>0</v>
      </c>
      <c r="N334" s="265">
        <v>0</v>
      </c>
      <c r="O334" s="265">
        <v>0</v>
      </c>
      <c r="P334" s="265">
        <v>0</v>
      </c>
      <c r="Q334" s="265">
        <v>0</v>
      </c>
      <c r="R334" s="265">
        <v>0</v>
      </c>
      <c r="S334" s="265">
        <f t="shared" si="97"/>
        <v>2446.84</v>
      </c>
      <c r="T334" s="265">
        <v>105000</v>
      </c>
      <c r="U334" s="265">
        <f t="shared" si="98"/>
        <v>102553.16</v>
      </c>
      <c r="V334" s="262">
        <f>S334/T334</f>
        <v>2.3303238095238096E-2</v>
      </c>
      <c r="W334" s="263"/>
    </row>
    <row r="335" spans="1:23" x14ac:dyDescent="0.25">
      <c r="A335" t="s">
        <v>55</v>
      </c>
      <c r="B335" t="s">
        <v>501</v>
      </c>
      <c r="C335" t="s">
        <v>246</v>
      </c>
      <c r="D335" s="283">
        <v>82485.2</v>
      </c>
      <c r="E335" s="283">
        <v>110000</v>
      </c>
      <c r="G335" s="265">
        <v>15785.68</v>
      </c>
      <c r="H335" s="265">
        <v>35668.75</v>
      </c>
      <c r="I335" s="265">
        <v>22394.18</v>
      </c>
      <c r="J335" s="265">
        <v>19130.739999999991</v>
      </c>
      <c r="K335" s="265">
        <v>8923.2900000000009</v>
      </c>
      <c r="L335" s="265">
        <v>21145.55</v>
      </c>
      <c r="M335" s="265">
        <v>0</v>
      </c>
      <c r="N335" s="265">
        <v>0</v>
      </c>
      <c r="O335" s="265">
        <v>0</v>
      </c>
      <c r="P335" s="265">
        <v>0</v>
      </c>
      <c r="Q335" s="265">
        <v>0</v>
      </c>
      <c r="R335" s="265">
        <v>0</v>
      </c>
      <c r="S335" s="265">
        <f t="shared" si="97"/>
        <v>123048.18999999999</v>
      </c>
      <c r="T335" s="265">
        <v>115000</v>
      </c>
      <c r="U335" s="265">
        <f t="shared" si="98"/>
        <v>-8048.1899999999878</v>
      </c>
      <c r="V335" s="262">
        <f>S335/T335</f>
        <v>1.0699842608695651</v>
      </c>
      <c r="W335" s="263"/>
    </row>
    <row r="336" spans="1:23" x14ac:dyDescent="0.25">
      <c r="A336" t="s">
        <v>55</v>
      </c>
      <c r="B336" t="s">
        <v>500</v>
      </c>
      <c r="C336" t="s">
        <v>499</v>
      </c>
      <c r="D336" s="283">
        <v>0</v>
      </c>
      <c r="E336" s="283">
        <v>3000</v>
      </c>
      <c r="G336" s="265">
        <v>0</v>
      </c>
      <c r="H336" s="265">
        <v>0</v>
      </c>
      <c r="I336" s="265">
        <v>0</v>
      </c>
      <c r="J336" s="265">
        <v>0</v>
      </c>
      <c r="K336" s="265">
        <v>0</v>
      </c>
      <c r="L336" s="265">
        <v>0</v>
      </c>
      <c r="M336" s="265">
        <v>0</v>
      </c>
      <c r="N336" s="265">
        <v>0</v>
      </c>
      <c r="O336" s="265">
        <v>0</v>
      </c>
      <c r="P336" s="265">
        <v>0</v>
      </c>
      <c r="Q336" s="265">
        <v>0</v>
      </c>
      <c r="R336" s="265">
        <v>0</v>
      </c>
      <c r="S336" s="265">
        <f t="shared" si="97"/>
        <v>0</v>
      </c>
      <c r="T336" s="265">
        <v>3000</v>
      </c>
      <c r="U336" s="265">
        <f t="shared" si="98"/>
        <v>3000</v>
      </c>
      <c r="V336" s="262">
        <f>S336/T336</f>
        <v>0</v>
      </c>
      <c r="W336" s="263"/>
    </row>
    <row r="337" spans="1:23" x14ac:dyDescent="0.25">
      <c r="A337" t="s">
        <v>55</v>
      </c>
      <c r="B337" t="s">
        <v>498</v>
      </c>
      <c r="C337" t="s">
        <v>497</v>
      </c>
      <c r="D337" s="283">
        <v>1313826.93</v>
      </c>
      <c r="E337" s="283">
        <v>1310645.9099999999</v>
      </c>
      <c r="G337" s="265">
        <v>104262.32999999999</v>
      </c>
      <c r="H337" s="265">
        <v>104709.6</v>
      </c>
      <c r="I337" s="265">
        <v>108622</v>
      </c>
      <c r="J337" s="265">
        <v>103433.44</v>
      </c>
      <c r="K337" s="265">
        <v>92114.35</v>
      </c>
      <c r="L337" s="265">
        <v>98943.95</v>
      </c>
      <c r="M337" s="265">
        <v>0</v>
      </c>
      <c r="N337" s="265">
        <v>0</v>
      </c>
      <c r="O337" s="265">
        <v>0</v>
      </c>
      <c r="P337" s="265">
        <v>0</v>
      </c>
      <c r="Q337" s="265">
        <v>0</v>
      </c>
      <c r="R337" s="265">
        <v>0</v>
      </c>
      <c r="S337" s="265">
        <f t="shared" si="97"/>
        <v>612085.66999999993</v>
      </c>
      <c r="T337" s="265">
        <v>1283748.58</v>
      </c>
      <c r="U337" s="265">
        <f t="shared" si="98"/>
        <v>671662.91000000015</v>
      </c>
      <c r="V337" s="262">
        <f>S337/T337</f>
        <v>0.47679559653339587</v>
      </c>
      <c r="W337" s="263"/>
    </row>
    <row r="338" spans="1:23" x14ac:dyDescent="0.25">
      <c r="A338" t="s">
        <v>55</v>
      </c>
      <c r="B338" t="s">
        <v>496</v>
      </c>
      <c r="C338" t="s">
        <v>495</v>
      </c>
      <c r="D338" s="283">
        <v>2827.82</v>
      </c>
      <c r="E338" s="283">
        <v>0</v>
      </c>
      <c r="G338" s="265">
        <v>0</v>
      </c>
      <c r="H338" s="265">
        <v>0</v>
      </c>
      <c r="I338" s="265">
        <v>0</v>
      </c>
      <c r="J338" s="265">
        <v>0</v>
      </c>
      <c r="K338" s="265">
        <v>555.25</v>
      </c>
      <c r="L338" s="265">
        <v>604.66</v>
      </c>
      <c r="M338" s="265">
        <v>0</v>
      </c>
      <c r="N338" s="265">
        <v>0</v>
      </c>
      <c r="O338" s="265">
        <v>0</v>
      </c>
      <c r="P338" s="265">
        <v>0</v>
      </c>
      <c r="Q338" s="265">
        <v>0</v>
      </c>
      <c r="R338" s="265">
        <v>0</v>
      </c>
      <c r="S338" s="265">
        <f t="shared" si="97"/>
        <v>1159.9099999999999</v>
      </c>
      <c r="T338" s="265">
        <v>0</v>
      </c>
      <c r="U338" s="265">
        <f t="shared" si="98"/>
        <v>-1159.9099999999999</v>
      </c>
      <c r="V338" s="262">
        <v>0</v>
      </c>
      <c r="W338" s="263"/>
    </row>
    <row r="339" spans="1:23" x14ac:dyDescent="0.25">
      <c r="A339" t="s">
        <v>55</v>
      </c>
      <c r="B339" t="s">
        <v>494</v>
      </c>
      <c r="C339" t="s">
        <v>493</v>
      </c>
      <c r="D339" s="283">
        <v>38282.870000000003</v>
      </c>
      <c r="E339" s="283">
        <v>0</v>
      </c>
      <c r="G339" s="265">
        <v>0</v>
      </c>
      <c r="H339" s="265">
        <v>0</v>
      </c>
      <c r="I339" s="265">
        <v>0</v>
      </c>
      <c r="J339" s="265">
        <v>0</v>
      </c>
      <c r="K339" s="265">
        <v>6699.01</v>
      </c>
      <c r="L339" s="265">
        <v>7441.28</v>
      </c>
      <c r="M339" s="265">
        <v>0</v>
      </c>
      <c r="N339" s="265">
        <v>0</v>
      </c>
      <c r="O339" s="265">
        <v>0</v>
      </c>
      <c r="P339" s="265">
        <v>0</v>
      </c>
      <c r="Q339" s="265">
        <v>0</v>
      </c>
      <c r="R339" s="265">
        <v>0</v>
      </c>
      <c r="S339" s="265">
        <f t="shared" si="97"/>
        <v>14140.29</v>
      </c>
      <c r="T339" s="265">
        <v>0</v>
      </c>
      <c r="U339" s="265">
        <f t="shared" si="98"/>
        <v>-14140.29</v>
      </c>
      <c r="V339" s="262">
        <v>0</v>
      </c>
      <c r="W339" s="263"/>
    </row>
    <row r="340" spans="1:23" x14ac:dyDescent="0.25">
      <c r="A340" t="s">
        <v>55</v>
      </c>
      <c r="B340" t="s">
        <v>492</v>
      </c>
      <c r="C340" t="s">
        <v>491</v>
      </c>
      <c r="D340" s="283">
        <v>3326.46</v>
      </c>
      <c r="E340" s="283">
        <v>10000</v>
      </c>
      <c r="G340" s="265">
        <v>0</v>
      </c>
      <c r="H340" s="265">
        <v>0</v>
      </c>
      <c r="I340" s="265">
        <v>1942.91</v>
      </c>
      <c r="J340" s="265">
        <v>0</v>
      </c>
      <c r="K340" s="265">
        <v>0</v>
      </c>
      <c r="L340" s="265">
        <v>0</v>
      </c>
      <c r="M340" s="265">
        <v>0</v>
      </c>
      <c r="N340" s="265">
        <v>0</v>
      </c>
      <c r="O340" s="265">
        <v>0</v>
      </c>
      <c r="P340" s="265">
        <v>0</v>
      </c>
      <c r="Q340" s="265">
        <v>0</v>
      </c>
      <c r="R340" s="265">
        <v>0</v>
      </c>
      <c r="S340" s="265">
        <f t="shared" si="97"/>
        <v>1942.91</v>
      </c>
      <c r="T340" s="265">
        <v>10000</v>
      </c>
      <c r="U340" s="265">
        <f t="shared" si="98"/>
        <v>8057.09</v>
      </c>
      <c r="V340" s="262">
        <f>S340/T340</f>
        <v>0.19429100000000002</v>
      </c>
      <c r="W340" s="263"/>
    </row>
    <row r="341" spans="1:23" x14ac:dyDescent="0.25">
      <c r="A341" t="s">
        <v>55</v>
      </c>
      <c r="B341" t="s">
        <v>490</v>
      </c>
      <c r="C341" t="s">
        <v>489</v>
      </c>
      <c r="D341" s="283">
        <v>0</v>
      </c>
      <c r="E341" s="283">
        <v>3000</v>
      </c>
      <c r="G341" s="265">
        <v>0</v>
      </c>
      <c r="H341" s="265">
        <v>0</v>
      </c>
      <c r="I341" s="265">
        <v>0</v>
      </c>
      <c r="J341" s="265">
        <v>0</v>
      </c>
      <c r="K341" s="265">
        <v>0</v>
      </c>
      <c r="L341" s="265">
        <v>0</v>
      </c>
      <c r="M341" s="265">
        <v>0</v>
      </c>
      <c r="N341" s="265">
        <v>0</v>
      </c>
      <c r="O341" s="265">
        <v>0</v>
      </c>
      <c r="P341" s="265">
        <v>0</v>
      </c>
      <c r="Q341" s="265">
        <v>0</v>
      </c>
      <c r="R341" s="265">
        <v>0</v>
      </c>
      <c r="S341" s="265">
        <f t="shared" si="97"/>
        <v>0</v>
      </c>
      <c r="T341" s="265">
        <v>3000</v>
      </c>
      <c r="U341" s="265">
        <f t="shared" si="98"/>
        <v>3000</v>
      </c>
      <c r="V341" s="262">
        <f>S341/T341</f>
        <v>0</v>
      </c>
      <c r="W341" s="263"/>
    </row>
    <row r="342" spans="1:23" x14ac:dyDescent="0.25">
      <c r="A342" t="s">
        <v>55</v>
      </c>
      <c r="B342" t="s">
        <v>488</v>
      </c>
      <c r="C342" t="s">
        <v>487</v>
      </c>
      <c r="D342" s="283">
        <v>20960</v>
      </c>
      <c r="E342" s="283">
        <v>80960</v>
      </c>
      <c r="G342" s="265">
        <v>320</v>
      </c>
      <c r="H342" s="265">
        <v>1080</v>
      </c>
      <c r="I342" s="265">
        <v>0</v>
      </c>
      <c r="J342" s="265">
        <v>0</v>
      </c>
      <c r="K342" s="265">
        <v>0</v>
      </c>
      <c r="L342" s="265">
        <v>0</v>
      </c>
      <c r="M342" s="265">
        <v>0</v>
      </c>
      <c r="N342" s="265">
        <v>0</v>
      </c>
      <c r="O342" s="265">
        <v>0</v>
      </c>
      <c r="P342" s="265">
        <v>0</v>
      </c>
      <c r="Q342" s="265">
        <v>0</v>
      </c>
      <c r="R342" s="265">
        <v>0</v>
      </c>
      <c r="S342" s="265">
        <f t="shared" si="97"/>
        <v>1400</v>
      </c>
      <c r="T342" s="265">
        <v>40000</v>
      </c>
      <c r="U342" s="265">
        <f t="shared" si="98"/>
        <v>38600</v>
      </c>
      <c r="V342" s="262">
        <f>S342/T342</f>
        <v>3.5000000000000003E-2</v>
      </c>
      <c r="W342" s="263"/>
    </row>
    <row r="343" spans="1:23" x14ac:dyDescent="0.25">
      <c r="A343" t="s">
        <v>55</v>
      </c>
      <c r="B343" t="s">
        <v>486</v>
      </c>
      <c r="C343" t="s">
        <v>485</v>
      </c>
      <c r="D343" s="283">
        <v>153612.65</v>
      </c>
      <c r="E343" s="283">
        <v>188382</v>
      </c>
      <c r="G343" s="265">
        <v>16327.68</v>
      </c>
      <c r="H343" s="265">
        <v>16327.68</v>
      </c>
      <c r="I343" s="265">
        <v>16327.68</v>
      </c>
      <c r="J343" s="265">
        <v>16327.68</v>
      </c>
      <c r="K343" s="265">
        <v>16327.68</v>
      </c>
      <c r="L343" s="265">
        <v>16327.68</v>
      </c>
      <c r="M343" s="265">
        <v>0</v>
      </c>
      <c r="N343" s="265">
        <v>0</v>
      </c>
      <c r="O343" s="265">
        <v>0</v>
      </c>
      <c r="P343" s="265">
        <v>0</v>
      </c>
      <c r="Q343" s="265">
        <v>0</v>
      </c>
      <c r="R343" s="265">
        <v>0</v>
      </c>
      <c r="S343" s="265">
        <f t="shared" si="97"/>
        <v>97966.079999999987</v>
      </c>
      <c r="T343" s="265">
        <v>199912.24</v>
      </c>
      <c r="U343" s="265">
        <f t="shared" si="98"/>
        <v>101946.16</v>
      </c>
      <c r="V343" s="262">
        <f>S343/T343</f>
        <v>0.49004543193553329</v>
      </c>
      <c r="W343" s="263"/>
    </row>
    <row r="344" spans="1:23" x14ac:dyDescent="0.25">
      <c r="A344" t="s">
        <v>55</v>
      </c>
      <c r="B344" t="s">
        <v>484</v>
      </c>
      <c r="C344" t="s">
        <v>483</v>
      </c>
      <c r="D344" s="283">
        <v>362.26</v>
      </c>
      <c r="E344" s="283">
        <v>0</v>
      </c>
      <c r="G344" s="265">
        <v>0</v>
      </c>
      <c r="H344" s="265">
        <v>0</v>
      </c>
      <c r="I344" s="265">
        <v>0</v>
      </c>
      <c r="J344" s="265">
        <v>0</v>
      </c>
      <c r="K344" s="265">
        <v>0</v>
      </c>
      <c r="L344" s="265">
        <v>0</v>
      </c>
      <c r="M344" s="265">
        <v>0</v>
      </c>
      <c r="N344" s="265">
        <v>0</v>
      </c>
      <c r="O344" s="265">
        <v>0</v>
      </c>
      <c r="P344" s="265">
        <v>0</v>
      </c>
      <c r="Q344" s="265">
        <v>0</v>
      </c>
      <c r="R344" s="265">
        <v>0</v>
      </c>
      <c r="S344" s="265">
        <f t="shared" si="97"/>
        <v>0</v>
      </c>
      <c r="T344" s="265">
        <v>0</v>
      </c>
      <c r="U344" s="265">
        <f t="shared" si="98"/>
        <v>0</v>
      </c>
      <c r="V344" s="262">
        <v>0</v>
      </c>
      <c r="W344" s="263"/>
    </row>
    <row r="345" spans="1:23" x14ac:dyDescent="0.25">
      <c r="A345" t="s">
        <v>55</v>
      </c>
      <c r="B345" t="s">
        <v>482</v>
      </c>
      <c r="C345" t="s">
        <v>242</v>
      </c>
      <c r="D345" s="283">
        <v>0</v>
      </c>
      <c r="E345" s="283">
        <v>2000</v>
      </c>
      <c r="G345" s="265">
        <v>0</v>
      </c>
      <c r="H345" s="265">
        <v>0</v>
      </c>
      <c r="I345" s="265">
        <v>0</v>
      </c>
      <c r="J345" s="265">
        <v>0</v>
      </c>
      <c r="K345" s="265">
        <v>0</v>
      </c>
      <c r="L345" s="265">
        <v>0</v>
      </c>
      <c r="M345" s="265">
        <v>0</v>
      </c>
      <c r="N345" s="265">
        <v>0</v>
      </c>
      <c r="O345" s="265">
        <v>0</v>
      </c>
      <c r="P345" s="265">
        <v>0</v>
      </c>
      <c r="Q345" s="265">
        <v>0</v>
      </c>
      <c r="R345" s="265">
        <v>0</v>
      </c>
      <c r="S345" s="265">
        <f t="shared" si="97"/>
        <v>0</v>
      </c>
      <c r="T345" s="265">
        <v>4000</v>
      </c>
      <c r="U345" s="265">
        <f t="shared" si="98"/>
        <v>4000</v>
      </c>
      <c r="V345" s="262">
        <f>S345/T345</f>
        <v>0</v>
      </c>
      <c r="W345" s="263"/>
    </row>
    <row r="346" spans="1:23" x14ac:dyDescent="0.25">
      <c r="A346" t="s">
        <v>55</v>
      </c>
      <c r="B346" t="s">
        <v>481</v>
      </c>
      <c r="C346" t="s">
        <v>480</v>
      </c>
      <c r="D346" s="283">
        <v>0</v>
      </c>
      <c r="E346" s="283">
        <v>1000</v>
      </c>
      <c r="G346" s="265">
        <v>0</v>
      </c>
      <c r="H346" s="265">
        <v>0</v>
      </c>
      <c r="I346" s="265">
        <v>0</v>
      </c>
      <c r="J346" s="265">
        <v>0</v>
      </c>
      <c r="K346" s="265">
        <v>0</v>
      </c>
      <c r="L346" s="265">
        <v>0</v>
      </c>
      <c r="M346" s="274">
        <v>0</v>
      </c>
      <c r="N346" s="265">
        <v>0</v>
      </c>
      <c r="O346" s="265">
        <v>0</v>
      </c>
      <c r="P346" s="265">
        <v>0</v>
      </c>
      <c r="Q346" s="265">
        <v>0</v>
      </c>
      <c r="R346" s="265">
        <v>0</v>
      </c>
      <c r="S346" s="265">
        <f t="shared" si="97"/>
        <v>0</v>
      </c>
      <c r="T346" s="265">
        <v>2000</v>
      </c>
      <c r="U346" s="265">
        <f t="shared" si="98"/>
        <v>2000</v>
      </c>
      <c r="V346" s="262">
        <f>S346/T346</f>
        <v>0</v>
      </c>
      <c r="W346" s="263"/>
    </row>
    <row r="347" spans="1:23" x14ac:dyDescent="0.25">
      <c r="A347" t="s">
        <v>55</v>
      </c>
      <c r="B347" t="s">
        <v>479</v>
      </c>
      <c r="C347" t="s">
        <v>478</v>
      </c>
      <c r="D347" s="283">
        <v>2238526.36</v>
      </c>
      <c r="E347" s="283">
        <v>1513923.3</v>
      </c>
      <c r="G347" s="265">
        <v>0</v>
      </c>
      <c r="H347" s="265">
        <v>0</v>
      </c>
      <c r="I347" s="265">
        <v>0</v>
      </c>
      <c r="J347" s="265">
        <v>361776.72</v>
      </c>
      <c r="K347" s="265">
        <v>0</v>
      </c>
      <c r="L347" s="265">
        <v>43889.4</v>
      </c>
      <c r="M347" s="274">
        <v>0</v>
      </c>
      <c r="N347" s="265">
        <v>0</v>
      </c>
      <c r="O347" s="265">
        <v>0</v>
      </c>
      <c r="P347" s="265">
        <v>0</v>
      </c>
      <c r="Q347" s="265">
        <v>0</v>
      </c>
      <c r="R347" s="265">
        <v>0</v>
      </c>
      <c r="S347" s="265">
        <f t="shared" si="97"/>
        <v>405666.12</v>
      </c>
      <c r="T347" s="265">
        <v>1568275</v>
      </c>
      <c r="U347" s="265">
        <f t="shared" si="98"/>
        <v>1162608.8799999999</v>
      </c>
      <c r="V347" s="262">
        <f>S347/T347</f>
        <v>0.25867027147662242</v>
      </c>
      <c r="W347" s="263"/>
    </row>
    <row r="348" spans="1:23" x14ac:dyDescent="0.25">
      <c r="A348" t="s">
        <v>55</v>
      </c>
      <c r="B348" t="s">
        <v>477</v>
      </c>
      <c r="C348" t="s">
        <v>234</v>
      </c>
      <c r="D348" s="283">
        <v>36928.050000000003</v>
      </c>
      <c r="E348" s="283">
        <v>43000</v>
      </c>
      <c r="G348" s="265">
        <v>3803.24</v>
      </c>
      <c r="H348" s="265">
        <v>3803.24</v>
      </c>
      <c r="I348" s="265">
        <v>3803.24</v>
      </c>
      <c r="J348" s="265">
        <v>3803.24</v>
      </c>
      <c r="K348" s="265">
        <v>3803.24</v>
      </c>
      <c r="L348" s="265">
        <v>3803.24</v>
      </c>
      <c r="M348" s="274">
        <v>0</v>
      </c>
      <c r="N348" s="265">
        <v>0</v>
      </c>
      <c r="O348" s="265">
        <v>0</v>
      </c>
      <c r="P348" s="265">
        <v>0</v>
      </c>
      <c r="Q348" s="265">
        <v>0</v>
      </c>
      <c r="R348" s="265">
        <v>0</v>
      </c>
      <c r="S348" s="265">
        <f t="shared" si="97"/>
        <v>22819.439999999995</v>
      </c>
      <c r="T348" s="265">
        <v>45638.63</v>
      </c>
      <c r="U348" s="265">
        <f t="shared" si="98"/>
        <v>22819.190000000002</v>
      </c>
      <c r="V348" s="262">
        <f>S348/T348</f>
        <v>0.50000273890780678</v>
      </c>
      <c r="W348" s="263"/>
    </row>
    <row r="349" spans="1:23" ht="15.75" thickBot="1" x14ac:dyDescent="0.3">
      <c r="D349" s="273">
        <f t="shared" ref="D349:R349" si="100">SUM(D325:D348)</f>
        <v>4613923.5799999991</v>
      </c>
      <c r="E349" s="273">
        <f t="shared" si="100"/>
        <v>4059284.4699999997</v>
      </c>
      <c r="F349" s="350"/>
      <c r="G349" s="273">
        <f t="shared" si="100"/>
        <v>200980.67999999996</v>
      </c>
      <c r="H349" s="273">
        <f t="shared" si="100"/>
        <v>225782.87</v>
      </c>
      <c r="I349" s="273">
        <f t="shared" si="100"/>
        <v>207781.18999999997</v>
      </c>
      <c r="J349" s="273">
        <f t="shared" si="100"/>
        <v>559661.92999999993</v>
      </c>
      <c r="K349" s="273">
        <f t="shared" si="100"/>
        <v>186622.99</v>
      </c>
      <c r="L349" s="273">
        <f t="shared" si="100"/>
        <v>249273.93999999997</v>
      </c>
      <c r="M349" s="275">
        <f t="shared" si="100"/>
        <v>0</v>
      </c>
      <c r="N349" s="273">
        <f t="shared" si="100"/>
        <v>0</v>
      </c>
      <c r="O349" s="273">
        <f t="shared" si="100"/>
        <v>0</v>
      </c>
      <c r="P349" s="273">
        <f t="shared" si="100"/>
        <v>0</v>
      </c>
      <c r="Q349" s="273">
        <f t="shared" si="100"/>
        <v>0</v>
      </c>
      <c r="R349" s="273">
        <f t="shared" si="100"/>
        <v>0</v>
      </c>
      <c r="S349" s="273">
        <f>SUM(S325:S348)</f>
        <v>1630103.5999999996</v>
      </c>
      <c r="T349" s="273">
        <f>SUM(T325:T348)</f>
        <v>4128693.7300000004</v>
      </c>
      <c r="U349" s="273">
        <f>SUM(U325:U348)</f>
        <v>2498590.1300000004</v>
      </c>
      <c r="V349" s="272">
        <f>S349/T349</f>
        <v>0.39482308609023403</v>
      </c>
      <c r="W349" s="263"/>
    </row>
    <row r="350" spans="1:23" ht="15.75" thickTop="1" x14ac:dyDescent="0.25">
      <c r="G350" s="265"/>
      <c r="H350" s="265"/>
      <c r="I350" s="265"/>
      <c r="J350" s="265"/>
      <c r="K350" s="265"/>
      <c r="L350" s="265"/>
      <c r="M350" s="274"/>
      <c r="N350" s="265"/>
      <c r="O350" s="265"/>
      <c r="P350" s="265"/>
      <c r="Q350" s="265"/>
      <c r="R350" s="265"/>
      <c r="S350" s="265"/>
      <c r="T350" s="265"/>
      <c r="U350" s="265"/>
    </row>
    <row r="351" spans="1:23" x14ac:dyDescent="0.25">
      <c r="A351" t="s">
        <v>231</v>
      </c>
      <c r="G351" s="265"/>
      <c r="H351" s="265"/>
      <c r="I351" s="265"/>
      <c r="J351" s="265"/>
      <c r="K351" s="265"/>
      <c r="L351" s="265"/>
      <c r="M351" s="274"/>
      <c r="N351" s="265"/>
      <c r="O351" s="265"/>
      <c r="P351" s="265"/>
      <c r="Q351" s="265"/>
      <c r="R351" s="265"/>
      <c r="S351" s="265"/>
      <c r="T351" s="265"/>
      <c r="U351" s="265"/>
      <c r="W351" s="263"/>
    </row>
    <row r="352" spans="1:23" x14ac:dyDescent="0.25">
      <c r="A352" t="s">
        <v>55</v>
      </c>
      <c r="B352" t="s">
        <v>476</v>
      </c>
      <c r="C352" t="s">
        <v>475</v>
      </c>
      <c r="D352" s="283">
        <v>10676.22</v>
      </c>
      <c r="E352" s="283">
        <v>12601.91</v>
      </c>
      <c r="G352" s="265">
        <v>4558.13</v>
      </c>
      <c r="H352" s="265">
        <v>0</v>
      </c>
      <c r="I352" s="265">
        <v>2583.75</v>
      </c>
      <c r="J352" s="265">
        <v>0</v>
      </c>
      <c r="K352" s="265">
        <v>3851.2499999999991</v>
      </c>
      <c r="L352" s="265">
        <v>0</v>
      </c>
      <c r="M352" s="274">
        <v>0</v>
      </c>
      <c r="N352" s="265">
        <v>0</v>
      </c>
      <c r="O352" s="265">
        <v>0</v>
      </c>
      <c r="P352" s="265">
        <v>0</v>
      </c>
      <c r="Q352" s="265">
        <v>0</v>
      </c>
      <c r="R352" s="265">
        <v>0</v>
      </c>
      <c r="S352" s="265">
        <f t="shared" ref="S352:S372" si="101">SUM(G352:R352)</f>
        <v>10993.13</v>
      </c>
      <c r="T352" s="265">
        <v>20000</v>
      </c>
      <c r="U352" s="265">
        <f t="shared" ref="U352:U372" si="102">T352-S352</f>
        <v>9006.8700000000008</v>
      </c>
      <c r="V352" s="262">
        <f t="shared" ref="V352:V362" si="103">S352/T352</f>
        <v>0.54965649999999999</v>
      </c>
      <c r="W352" s="263"/>
    </row>
    <row r="353" spans="1:23" x14ac:dyDescent="0.25">
      <c r="A353" t="s">
        <v>55</v>
      </c>
      <c r="B353" t="s">
        <v>474</v>
      </c>
      <c r="C353" t="s">
        <v>225</v>
      </c>
      <c r="D353" s="283">
        <v>31534.400000000001</v>
      </c>
      <c r="E353" s="283">
        <v>24000</v>
      </c>
      <c r="G353" s="265">
        <v>3564.0299999999997</v>
      </c>
      <c r="H353" s="265">
        <v>2344.19</v>
      </c>
      <c r="I353" s="265">
        <v>2342.85</v>
      </c>
      <c r="J353" s="265">
        <v>2327.6799999999998</v>
      </c>
      <c r="K353" s="265">
        <v>2633.99</v>
      </c>
      <c r="L353" s="265">
        <v>2155.7199999999998</v>
      </c>
      <c r="M353" s="274">
        <v>0</v>
      </c>
      <c r="N353" s="265">
        <v>0</v>
      </c>
      <c r="O353" s="265">
        <v>0</v>
      </c>
      <c r="P353" s="265">
        <v>0</v>
      </c>
      <c r="Q353" s="265">
        <v>0</v>
      </c>
      <c r="R353" s="265">
        <v>0</v>
      </c>
      <c r="S353" s="265">
        <f t="shared" si="101"/>
        <v>15368.46</v>
      </c>
      <c r="T353" s="265">
        <v>24000</v>
      </c>
      <c r="U353" s="265">
        <f t="shared" si="102"/>
        <v>8631.5400000000009</v>
      </c>
      <c r="V353" s="262">
        <f t="shared" si="103"/>
        <v>0.64035249999999999</v>
      </c>
      <c r="W353" s="263"/>
    </row>
    <row r="354" spans="1:23" x14ac:dyDescent="0.25">
      <c r="A354" t="s">
        <v>55</v>
      </c>
      <c r="B354" t="s">
        <v>473</v>
      </c>
      <c r="C354" t="s">
        <v>221</v>
      </c>
      <c r="D354" s="283">
        <v>88595.89</v>
      </c>
      <c r="E354" s="283">
        <v>43293.72</v>
      </c>
      <c r="G354" s="265">
        <v>0</v>
      </c>
      <c r="H354" s="265">
        <v>0</v>
      </c>
      <c r="I354" s="265">
        <v>79.253159674379276</v>
      </c>
      <c r="J354" s="265">
        <v>42011.88684032562</v>
      </c>
      <c r="K354" s="265">
        <v>0</v>
      </c>
      <c r="L354" s="265">
        <v>0</v>
      </c>
      <c r="M354" s="274">
        <v>0</v>
      </c>
      <c r="N354" s="265">
        <v>0</v>
      </c>
      <c r="O354" s="265">
        <v>0</v>
      </c>
      <c r="P354" s="265">
        <v>0</v>
      </c>
      <c r="Q354" s="265">
        <v>0</v>
      </c>
      <c r="R354" s="265">
        <v>0</v>
      </c>
      <c r="S354" s="265">
        <f t="shared" si="101"/>
        <v>42091.14</v>
      </c>
      <c r="T354" s="265">
        <v>63000</v>
      </c>
      <c r="U354" s="265">
        <f t="shared" si="102"/>
        <v>20908.86</v>
      </c>
      <c r="V354" s="262">
        <f t="shared" si="103"/>
        <v>0.66811333333333334</v>
      </c>
      <c r="W354" s="263"/>
    </row>
    <row r="355" spans="1:23" x14ac:dyDescent="0.25">
      <c r="A355" t="s">
        <v>55</v>
      </c>
      <c r="B355" t="s">
        <v>472</v>
      </c>
      <c r="C355" t="s">
        <v>333</v>
      </c>
      <c r="D355" s="283">
        <v>275654.42</v>
      </c>
      <c r="E355" s="283">
        <v>217425.46</v>
      </c>
      <c r="G355" s="265">
        <v>0</v>
      </c>
      <c r="H355" s="265">
        <v>0</v>
      </c>
      <c r="I355" s="265">
        <v>0</v>
      </c>
      <c r="J355" s="265">
        <v>80957.790552495382</v>
      </c>
      <c r="K355" s="265">
        <v>0</v>
      </c>
      <c r="L355" s="265">
        <v>0</v>
      </c>
      <c r="M355" s="274">
        <v>0</v>
      </c>
      <c r="N355" s="265">
        <v>0</v>
      </c>
      <c r="O355" s="265">
        <v>0</v>
      </c>
      <c r="P355" s="265">
        <v>0</v>
      </c>
      <c r="Q355" s="265">
        <v>0</v>
      </c>
      <c r="R355" s="265">
        <v>0</v>
      </c>
      <c r="S355" s="265">
        <f t="shared" si="101"/>
        <v>80957.790552495382</v>
      </c>
      <c r="T355" s="265">
        <v>217425</v>
      </c>
      <c r="U355" s="265">
        <f t="shared" si="102"/>
        <v>136467.2094475046</v>
      </c>
      <c r="V355" s="262">
        <f t="shared" si="103"/>
        <v>0.37234812258247846</v>
      </c>
      <c r="W355" s="263"/>
    </row>
    <row r="356" spans="1:23" x14ac:dyDescent="0.25">
      <c r="A356" t="s">
        <v>55</v>
      </c>
      <c r="B356" t="s">
        <v>471</v>
      </c>
      <c r="C356" t="s">
        <v>470</v>
      </c>
      <c r="D356" s="283">
        <v>10831.17</v>
      </c>
      <c r="E356" s="283">
        <v>11000</v>
      </c>
      <c r="G356" s="265">
        <v>10268</v>
      </c>
      <c r="H356" s="265">
        <v>0</v>
      </c>
      <c r="I356" s="265">
        <v>0</v>
      </c>
      <c r="J356" s="265">
        <v>0</v>
      </c>
      <c r="K356" s="265">
        <v>0</v>
      </c>
      <c r="L356" s="265">
        <v>0</v>
      </c>
      <c r="M356" s="274">
        <v>0</v>
      </c>
      <c r="N356" s="265">
        <v>0</v>
      </c>
      <c r="O356" s="265">
        <v>0</v>
      </c>
      <c r="P356" s="265">
        <v>0</v>
      </c>
      <c r="Q356" s="265">
        <v>0</v>
      </c>
      <c r="R356" s="265">
        <v>0</v>
      </c>
      <c r="S356" s="265">
        <f t="shared" si="101"/>
        <v>10268</v>
      </c>
      <c r="T356" s="265">
        <v>10800</v>
      </c>
      <c r="U356" s="265">
        <f t="shared" si="102"/>
        <v>532</v>
      </c>
      <c r="V356" s="262">
        <f t="shared" si="103"/>
        <v>0.95074074074074078</v>
      </c>
      <c r="W356" s="263"/>
    </row>
    <row r="357" spans="1:23" x14ac:dyDescent="0.25">
      <c r="A357" t="s">
        <v>55</v>
      </c>
      <c r="B357" t="s">
        <v>469</v>
      </c>
      <c r="C357" t="s">
        <v>468</v>
      </c>
      <c r="D357" s="283">
        <v>7396.13</v>
      </c>
      <c r="E357" s="283">
        <v>10000</v>
      </c>
      <c r="G357" s="265">
        <v>1413.5</v>
      </c>
      <c r="H357" s="265">
        <v>1339</v>
      </c>
      <c r="I357" s="265">
        <v>20</v>
      </c>
      <c r="J357" s="265">
        <v>216.89</v>
      </c>
      <c r="K357" s="265">
        <v>0</v>
      </c>
      <c r="L357" s="265">
        <v>20</v>
      </c>
      <c r="M357" s="274">
        <v>0</v>
      </c>
      <c r="N357" s="265">
        <v>0</v>
      </c>
      <c r="O357" s="265">
        <v>0</v>
      </c>
      <c r="P357" s="265">
        <v>0</v>
      </c>
      <c r="Q357" s="265">
        <v>0</v>
      </c>
      <c r="R357" s="265">
        <v>0</v>
      </c>
      <c r="S357" s="265">
        <f t="shared" si="101"/>
        <v>3009.39</v>
      </c>
      <c r="T357" s="265">
        <v>10000</v>
      </c>
      <c r="U357" s="265">
        <f t="shared" si="102"/>
        <v>6990.6100000000006</v>
      </c>
      <c r="V357" s="262">
        <f t="shared" si="103"/>
        <v>0.30093900000000001</v>
      </c>
      <c r="W357" s="263"/>
    </row>
    <row r="358" spans="1:23" x14ac:dyDescent="0.25">
      <c r="A358" t="s">
        <v>55</v>
      </c>
      <c r="B358" t="s">
        <v>467</v>
      </c>
      <c r="C358" t="s">
        <v>466</v>
      </c>
      <c r="D358" s="283">
        <v>11402.54</v>
      </c>
      <c r="E358" s="283">
        <v>17300</v>
      </c>
      <c r="G358" s="265">
        <v>128.85999999999999</v>
      </c>
      <c r="H358" s="265">
        <v>59.4</v>
      </c>
      <c r="I358" s="265">
        <v>127.38000000000005</v>
      </c>
      <c r="J358" s="265">
        <v>107.68999999999997</v>
      </c>
      <c r="K358" s="265">
        <v>210.65</v>
      </c>
      <c r="L358" s="265">
        <v>186.65</v>
      </c>
      <c r="M358" s="274">
        <v>0</v>
      </c>
      <c r="N358" s="265">
        <v>0</v>
      </c>
      <c r="O358" s="265">
        <v>0</v>
      </c>
      <c r="P358" s="265">
        <v>0</v>
      </c>
      <c r="Q358" s="265">
        <v>0</v>
      </c>
      <c r="R358" s="265">
        <v>0</v>
      </c>
      <c r="S358" s="265">
        <f t="shared" si="101"/>
        <v>820.63</v>
      </c>
      <c r="T358" s="265">
        <v>17600</v>
      </c>
      <c r="U358" s="265">
        <f t="shared" si="102"/>
        <v>16779.37</v>
      </c>
      <c r="V358" s="262">
        <f t="shared" si="103"/>
        <v>4.6626704545454548E-2</v>
      </c>
      <c r="W358" s="263"/>
    </row>
    <row r="359" spans="1:23" x14ac:dyDescent="0.25">
      <c r="A359" t="s">
        <v>55</v>
      </c>
      <c r="B359" t="s">
        <v>465</v>
      </c>
      <c r="C359" t="s">
        <v>464</v>
      </c>
      <c r="D359" s="283">
        <v>4583.3100000000004</v>
      </c>
      <c r="E359" s="283">
        <v>8900</v>
      </c>
      <c r="G359" s="265">
        <v>1550.58</v>
      </c>
      <c r="H359" s="265">
        <v>1359.5800000000004</v>
      </c>
      <c r="I359" s="265">
        <v>2162.9499999999998</v>
      </c>
      <c r="J359" s="265">
        <v>1334.99</v>
      </c>
      <c r="K359" s="265">
        <v>1921.68</v>
      </c>
      <c r="L359" s="265">
        <v>459.06</v>
      </c>
      <c r="M359" s="274">
        <v>0</v>
      </c>
      <c r="N359" s="265">
        <v>0</v>
      </c>
      <c r="O359" s="265">
        <v>0</v>
      </c>
      <c r="P359" s="265">
        <v>0</v>
      </c>
      <c r="Q359" s="265">
        <v>0</v>
      </c>
      <c r="R359" s="265">
        <v>0</v>
      </c>
      <c r="S359" s="265">
        <f t="shared" si="101"/>
        <v>8788.84</v>
      </c>
      <c r="T359" s="265">
        <v>13000</v>
      </c>
      <c r="U359" s="265">
        <f t="shared" si="102"/>
        <v>4211.16</v>
      </c>
      <c r="V359" s="262">
        <f t="shared" si="103"/>
        <v>0.67606461538461537</v>
      </c>
      <c r="W359" s="263"/>
    </row>
    <row r="360" spans="1:23" x14ac:dyDescent="0.25">
      <c r="A360" t="s">
        <v>55</v>
      </c>
      <c r="B360" t="s">
        <v>463</v>
      </c>
      <c r="C360" t="s">
        <v>462</v>
      </c>
      <c r="D360" s="283">
        <v>876.99</v>
      </c>
      <c r="E360" s="283">
        <v>23100</v>
      </c>
      <c r="G360" s="265">
        <v>92.48</v>
      </c>
      <c r="H360" s="265">
        <v>0</v>
      </c>
      <c r="I360" s="265">
        <v>0</v>
      </c>
      <c r="J360" s="265">
        <v>0</v>
      </c>
      <c r="K360" s="265">
        <v>64.650000000000006</v>
      </c>
      <c r="L360" s="265">
        <v>0</v>
      </c>
      <c r="M360" s="274">
        <v>0</v>
      </c>
      <c r="N360" s="265">
        <v>0</v>
      </c>
      <c r="O360" s="265">
        <v>0</v>
      </c>
      <c r="P360" s="265">
        <v>0</v>
      </c>
      <c r="Q360" s="265">
        <v>0</v>
      </c>
      <c r="R360" s="265">
        <v>0</v>
      </c>
      <c r="S360" s="265">
        <f t="shared" si="101"/>
        <v>157.13</v>
      </c>
      <c r="T360" s="265">
        <v>3000</v>
      </c>
      <c r="U360" s="265">
        <f t="shared" si="102"/>
        <v>2842.87</v>
      </c>
      <c r="V360" s="262">
        <f t="shared" si="103"/>
        <v>5.2376666666666669E-2</v>
      </c>
      <c r="W360" s="263"/>
    </row>
    <row r="361" spans="1:23" x14ac:dyDescent="0.25">
      <c r="A361" t="s">
        <v>55</v>
      </c>
      <c r="B361" t="s">
        <v>461</v>
      </c>
      <c r="C361" t="s">
        <v>460</v>
      </c>
      <c r="D361" s="283">
        <v>3268.04</v>
      </c>
      <c r="E361" s="283">
        <v>3480</v>
      </c>
      <c r="G361" s="265">
        <v>0</v>
      </c>
      <c r="H361" s="265">
        <v>0</v>
      </c>
      <c r="I361" s="265">
        <v>95</v>
      </c>
      <c r="J361" s="265">
        <v>0</v>
      </c>
      <c r="K361" s="265">
        <v>474</v>
      </c>
      <c r="L361" s="265">
        <v>0</v>
      </c>
      <c r="M361" s="274">
        <v>0</v>
      </c>
      <c r="N361" s="265">
        <v>0</v>
      </c>
      <c r="O361" s="265">
        <v>0</v>
      </c>
      <c r="P361" s="265">
        <v>0</v>
      </c>
      <c r="Q361" s="265">
        <v>0</v>
      </c>
      <c r="R361" s="265">
        <v>0</v>
      </c>
      <c r="S361" s="265">
        <f t="shared" si="101"/>
        <v>569</v>
      </c>
      <c r="T361" s="265">
        <v>2280</v>
      </c>
      <c r="U361" s="265">
        <f t="shared" si="102"/>
        <v>1711</v>
      </c>
      <c r="V361" s="262">
        <f t="shared" si="103"/>
        <v>0.24956140350877193</v>
      </c>
      <c r="W361" s="263"/>
    </row>
    <row r="362" spans="1:23" x14ac:dyDescent="0.25">
      <c r="A362" t="s">
        <v>55</v>
      </c>
      <c r="B362" t="s">
        <v>459</v>
      </c>
      <c r="C362" t="s">
        <v>458</v>
      </c>
      <c r="D362" s="283">
        <v>4203.29</v>
      </c>
      <c r="E362" s="283">
        <v>2600</v>
      </c>
      <c r="G362" s="265">
        <v>1094.25</v>
      </c>
      <c r="H362" s="265">
        <v>1428</v>
      </c>
      <c r="I362" s="265">
        <v>97.23</v>
      </c>
      <c r="J362" s="265">
        <v>-364</v>
      </c>
      <c r="K362" s="265">
        <v>0</v>
      </c>
      <c r="L362" s="265">
        <v>0</v>
      </c>
      <c r="M362" s="274">
        <v>0</v>
      </c>
      <c r="N362" s="265">
        <v>0</v>
      </c>
      <c r="O362" s="265">
        <v>0</v>
      </c>
      <c r="P362" s="265">
        <v>0</v>
      </c>
      <c r="Q362" s="265">
        <v>0</v>
      </c>
      <c r="R362" s="265">
        <v>0</v>
      </c>
      <c r="S362" s="265">
        <f t="shared" si="101"/>
        <v>2255.48</v>
      </c>
      <c r="T362" s="265">
        <v>2500</v>
      </c>
      <c r="U362" s="265">
        <f t="shared" si="102"/>
        <v>244.51999999999998</v>
      </c>
      <c r="V362" s="262">
        <f t="shared" si="103"/>
        <v>0.90219199999999999</v>
      </c>
      <c r="W362" s="263"/>
    </row>
    <row r="363" spans="1:23" x14ac:dyDescent="0.25">
      <c r="A363" t="s">
        <v>55</v>
      </c>
      <c r="B363" t="s">
        <v>457</v>
      </c>
      <c r="C363" t="s">
        <v>456</v>
      </c>
      <c r="D363" s="283">
        <v>0</v>
      </c>
      <c r="E363" s="283">
        <v>1120</v>
      </c>
      <c r="G363" s="265">
        <v>0</v>
      </c>
      <c r="H363" s="265">
        <v>0</v>
      </c>
      <c r="I363" s="265">
        <v>0</v>
      </c>
      <c r="J363" s="265">
        <v>0</v>
      </c>
      <c r="K363" s="265">
        <v>0</v>
      </c>
      <c r="L363" s="265">
        <v>0</v>
      </c>
      <c r="M363" s="274">
        <v>0</v>
      </c>
      <c r="N363" s="265">
        <v>0</v>
      </c>
      <c r="O363" s="265">
        <v>0</v>
      </c>
      <c r="P363" s="265">
        <v>0</v>
      </c>
      <c r="Q363" s="265">
        <v>0</v>
      </c>
      <c r="R363" s="265">
        <v>0</v>
      </c>
      <c r="S363" s="265">
        <f t="shared" si="101"/>
        <v>0</v>
      </c>
      <c r="T363" s="265">
        <v>0</v>
      </c>
      <c r="U363" s="265">
        <f t="shared" si="102"/>
        <v>0</v>
      </c>
      <c r="V363" s="262">
        <v>0</v>
      </c>
      <c r="W363" s="263"/>
    </row>
    <row r="364" spans="1:23" x14ac:dyDescent="0.25">
      <c r="A364" t="s">
        <v>55</v>
      </c>
      <c r="B364" t="s">
        <v>455</v>
      </c>
      <c r="C364" t="s">
        <v>454</v>
      </c>
      <c r="D364" s="283">
        <v>295.87</v>
      </c>
      <c r="E364" s="283">
        <v>1200</v>
      </c>
      <c r="G364" s="265">
        <v>0</v>
      </c>
      <c r="H364" s="265">
        <v>103.91</v>
      </c>
      <c r="I364" s="265">
        <v>892.81</v>
      </c>
      <c r="J364" s="265">
        <v>3599.4600000000005</v>
      </c>
      <c r="K364" s="265">
        <v>1502.96</v>
      </c>
      <c r="L364" s="265">
        <v>0</v>
      </c>
      <c r="M364" s="274">
        <v>0</v>
      </c>
      <c r="N364" s="265">
        <v>0</v>
      </c>
      <c r="O364" s="265">
        <v>0</v>
      </c>
      <c r="P364" s="265">
        <v>0</v>
      </c>
      <c r="Q364" s="265">
        <v>0</v>
      </c>
      <c r="R364" s="265">
        <v>0</v>
      </c>
      <c r="S364" s="265">
        <f t="shared" si="101"/>
        <v>6099.14</v>
      </c>
      <c r="T364" s="265">
        <v>10070</v>
      </c>
      <c r="U364" s="265">
        <f t="shared" si="102"/>
        <v>3970.8599999999997</v>
      </c>
      <c r="V364" s="262">
        <f t="shared" ref="V364:V370" si="104">S364/T364</f>
        <v>0.60567428003972201</v>
      </c>
      <c r="W364" s="263"/>
    </row>
    <row r="365" spans="1:23" x14ac:dyDescent="0.25">
      <c r="A365" t="s">
        <v>55</v>
      </c>
      <c r="B365" t="s">
        <v>453</v>
      </c>
      <c r="C365" t="s">
        <v>452</v>
      </c>
      <c r="D365" s="283">
        <v>138.37</v>
      </c>
      <c r="E365" s="283">
        <v>12500</v>
      </c>
      <c r="G365" s="265">
        <v>0</v>
      </c>
      <c r="H365" s="265">
        <v>0</v>
      </c>
      <c r="I365" s="265">
        <v>0</v>
      </c>
      <c r="J365" s="265">
        <v>0</v>
      </c>
      <c r="K365" s="265">
        <v>0</v>
      </c>
      <c r="L365" s="265">
        <v>0</v>
      </c>
      <c r="M365" s="274">
        <v>0</v>
      </c>
      <c r="N365" s="265">
        <v>0</v>
      </c>
      <c r="O365" s="265">
        <v>0</v>
      </c>
      <c r="P365" s="265">
        <v>0</v>
      </c>
      <c r="Q365" s="265">
        <v>0</v>
      </c>
      <c r="R365" s="265">
        <v>0</v>
      </c>
      <c r="S365" s="265">
        <f t="shared" si="101"/>
        <v>0</v>
      </c>
      <c r="T365" s="265">
        <v>3300</v>
      </c>
      <c r="U365" s="265">
        <f t="shared" si="102"/>
        <v>3300</v>
      </c>
      <c r="V365" s="262">
        <f t="shared" si="104"/>
        <v>0</v>
      </c>
      <c r="W365" s="263"/>
    </row>
    <row r="366" spans="1:23" x14ac:dyDescent="0.25">
      <c r="A366" t="s">
        <v>55</v>
      </c>
      <c r="B366" t="s">
        <v>451</v>
      </c>
      <c r="C366" t="s">
        <v>450</v>
      </c>
      <c r="D366" s="283">
        <v>1921.74</v>
      </c>
      <c r="E366" s="283">
        <v>4400</v>
      </c>
      <c r="G366" s="265">
        <v>0</v>
      </c>
      <c r="H366" s="265">
        <v>0</v>
      </c>
      <c r="I366" s="265">
        <v>0</v>
      </c>
      <c r="J366" s="265">
        <v>0</v>
      </c>
      <c r="K366" s="265">
        <v>0</v>
      </c>
      <c r="L366" s="265">
        <v>0</v>
      </c>
      <c r="M366" s="274">
        <v>0</v>
      </c>
      <c r="N366" s="265">
        <v>0</v>
      </c>
      <c r="O366" s="265">
        <v>0</v>
      </c>
      <c r="P366" s="265">
        <v>0</v>
      </c>
      <c r="Q366" s="265">
        <v>0</v>
      </c>
      <c r="R366" s="265">
        <v>0</v>
      </c>
      <c r="S366" s="265">
        <f t="shared" si="101"/>
        <v>0</v>
      </c>
      <c r="T366" s="265">
        <v>4400</v>
      </c>
      <c r="U366" s="265">
        <f t="shared" si="102"/>
        <v>4400</v>
      </c>
      <c r="V366" s="262">
        <f t="shared" si="104"/>
        <v>0</v>
      </c>
      <c r="W366" s="263"/>
    </row>
    <row r="367" spans="1:23" x14ac:dyDescent="0.25">
      <c r="A367" t="s">
        <v>55</v>
      </c>
      <c r="B367" t="s">
        <v>449</v>
      </c>
      <c r="C367" t="s">
        <v>194</v>
      </c>
      <c r="D367" s="283">
        <v>3470.35</v>
      </c>
      <c r="E367" s="283">
        <v>5000</v>
      </c>
      <c r="G367" s="265">
        <v>150</v>
      </c>
      <c r="H367" s="265">
        <v>0</v>
      </c>
      <c r="I367" s="265">
        <v>0</v>
      </c>
      <c r="J367" s="265">
        <v>151.9</v>
      </c>
      <c r="K367" s="265">
        <v>0</v>
      </c>
      <c r="L367" s="265">
        <v>255</v>
      </c>
      <c r="M367" s="274">
        <v>0</v>
      </c>
      <c r="N367" s="265">
        <v>0</v>
      </c>
      <c r="O367" s="265">
        <v>0</v>
      </c>
      <c r="P367" s="265">
        <v>0</v>
      </c>
      <c r="Q367" s="265">
        <v>0</v>
      </c>
      <c r="R367" s="265">
        <v>0</v>
      </c>
      <c r="S367" s="265">
        <f t="shared" si="101"/>
        <v>556.9</v>
      </c>
      <c r="T367" s="265">
        <v>3000</v>
      </c>
      <c r="U367" s="265">
        <f t="shared" si="102"/>
        <v>2443.1</v>
      </c>
      <c r="V367" s="262">
        <f t="shared" si="104"/>
        <v>0.18563333333333332</v>
      </c>
      <c r="W367" s="263"/>
    </row>
    <row r="368" spans="1:23" x14ac:dyDescent="0.25">
      <c r="A368" t="s">
        <v>55</v>
      </c>
      <c r="B368" t="s">
        <v>448</v>
      </c>
      <c r="C368" t="s">
        <v>316</v>
      </c>
      <c r="D368" s="283">
        <v>1507.57</v>
      </c>
      <c r="E368" s="283">
        <v>1800</v>
      </c>
      <c r="G368" s="265">
        <v>25.019999999999982</v>
      </c>
      <c r="H368" s="265">
        <v>0</v>
      </c>
      <c r="I368" s="265">
        <v>595.08000000000004</v>
      </c>
      <c r="J368" s="265">
        <v>0</v>
      </c>
      <c r="K368" s="265">
        <v>0</v>
      </c>
      <c r="L368" s="265">
        <v>0</v>
      </c>
      <c r="M368" s="274">
        <v>0</v>
      </c>
      <c r="N368" s="265">
        <v>0</v>
      </c>
      <c r="O368" s="265">
        <v>0</v>
      </c>
      <c r="P368" s="265">
        <v>0</v>
      </c>
      <c r="Q368" s="265">
        <v>0</v>
      </c>
      <c r="R368" s="265">
        <v>0</v>
      </c>
      <c r="S368" s="265">
        <f t="shared" si="101"/>
        <v>620.1</v>
      </c>
      <c r="T368" s="265">
        <v>1400</v>
      </c>
      <c r="U368" s="265">
        <f t="shared" si="102"/>
        <v>779.9</v>
      </c>
      <c r="V368" s="262">
        <f t="shared" si="104"/>
        <v>0.44292857142857145</v>
      </c>
      <c r="W368" s="263"/>
    </row>
    <row r="369" spans="1:23" x14ac:dyDescent="0.25">
      <c r="A369" t="s">
        <v>55</v>
      </c>
      <c r="B369" t="s">
        <v>447</v>
      </c>
      <c r="C369" t="s">
        <v>446</v>
      </c>
      <c r="D369" s="283">
        <v>33518.519999999997</v>
      </c>
      <c r="E369" s="283">
        <v>47160</v>
      </c>
      <c r="G369" s="265">
        <v>-1286.56</v>
      </c>
      <c r="H369" s="265">
        <v>450</v>
      </c>
      <c r="I369" s="265">
        <v>1035</v>
      </c>
      <c r="J369" s="265">
        <v>1707</v>
      </c>
      <c r="K369" s="265">
        <v>5837.89</v>
      </c>
      <c r="L369" s="265">
        <v>-1140.07</v>
      </c>
      <c r="M369" s="274">
        <v>0</v>
      </c>
      <c r="N369" s="265">
        <v>0</v>
      </c>
      <c r="O369" s="265">
        <v>0</v>
      </c>
      <c r="P369" s="265">
        <v>0</v>
      </c>
      <c r="Q369" s="265">
        <v>0</v>
      </c>
      <c r="R369" s="265">
        <v>0</v>
      </c>
      <c r="S369" s="265">
        <f t="shared" si="101"/>
        <v>6603.26</v>
      </c>
      <c r="T369" s="265">
        <v>25000</v>
      </c>
      <c r="U369" s="265">
        <f t="shared" si="102"/>
        <v>18396.739999999998</v>
      </c>
      <c r="V369" s="262">
        <f t="shared" si="104"/>
        <v>0.26413039999999999</v>
      </c>
      <c r="W369" s="263"/>
    </row>
    <row r="370" spans="1:23" x14ac:dyDescent="0.25">
      <c r="A370" t="s">
        <v>55</v>
      </c>
      <c r="B370" t="s">
        <v>445</v>
      </c>
      <c r="C370" t="s">
        <v>190</v>
      </c>
      <c r="D370" s="283">
        <v>1881.2</v>
      </c>
      <c r="E370" s="283">
        <v>3500</v>
      </c>
      <c r="G370" s="265">
        <v>175</v>
      </c>
      <c r="H370" s="265">
        <v>0</v>
      </c>
      <c r="I370" s="265">
        <v>0</v>
      </c>
      <c r="J370" s="265">
        <v>0</v>
      </c>
      <c r="K370" s="265">
        <v>240</v>
      </c>
      <c r="L370" s="265">
        <v>1568</v>
      </c>
      <c r="M370" s="274">
        <v>0</v>
      </c>
      <c r="N370" s="265">
        <v>0</v>
      </c>
      <c r="O370" s="265">
        <v>0</v>
      </c>
      <c r="P370" s="265">
        <v>0</v>
      </c>
      <c r="Q370" s="265">
        <v>0</v>
      </c>
      <c r="R370" s="265">
        <v>0</v>
      </c>
      <c r="S370" s="265">
        <f t="shared" si="101"/>
        <v>1983</v>
      </c>
      <c r="T370" s="265">
        <v>4000</v>
      </c>
      <c r="U370" s="265">
        <f t="shared" si="102"/>
        <v>2017</v>
      </c>
      <c r="V370" s="262">
        <f t="shared" si="104"/>
        <v>0.49575000000000002</v>
      </c>
      <c r="W370" s="263"/>
    </row>
    <row r="371" spans="1:23" x14ac:dyDescent="0.25">
      <c r="B371" t="s">
        <v>942</v>
      </c>
      <c r="C371" t="s">
        <v>256</v>
      </c>
      <c r="D371" s="283">
        <v>0</v>
      </c>
      <c r="E371" s="283">
        <v>0</v>
      </c>
      <c r="G371" s="265">
        <v>0</v>
      </c>
      <c r="H371" s="265">
        <v>0</v>
      </c>
      <c r="I371" s="265">
        <v>2620.27</v>
      </c>
      <c r="J371" s="265">
        <v>0</v>
      </c>
      <c r="K371" s="265">
        <v>0</v>
      </c>
      <c r="L371" s="265">
        <v>0</v>
      </c>
      <c r="M371" s="274"/>
      <c r="N371" s="265"/>
      <c r="O371" s="265"/>
      <c r="P371" s="265"/>
      <c r="Q371" s="265"/>
      <c r="R371" s="265"/>
      <c r="S371" s="265">
        <f t="shared" si="101"/>
        <v>2620.27</v>
      </c>
      <c r="T371" s="265">
        <v>0</v>
      </c>
      <c r="U371" s="265">
        <f t="shared" si="102"/>
        <v>-2620.27</v>
      </c>
      <c r="V371" s="262">
        <v>0</v>
      </c>
      <c r="W371" s="263"/>
    </row>
    <row r="372" spans="1:23" x14ac:dyDescent="0.25">
      <c r="A372" t="s">
        <v>55</v>
      </c>
      <c r="B372" t="s">
        <v>444</v>
      </c>
      <c r="C372" t="s">
        <v>306</v>
      </c>
      <c r="D372" s="283">
        <v>880.28</v>
      </c>
      <c r="E372" s="283">
        <v>0</v>
      </c>
      <c r="G372" s="265">
        <v>16.850000000000001</v>
      </c>
      <c r="H372" s="265">
        <v>13.01</v>
      </c>
      <c r="I372" s="265">
        <v>22.14</v>
      </c>
      <c r="J372" s="265">
        <v>10.52</v>
      </c>
      <c r="K372" s="265">
        <v>64.860000000000014</v>
      </c>
      <c r="L372" s="265">
        <v>266.51</v>
      </c>
      <c r="M372" s="274">
        <v>0</v>
      </c>
      <c r="N372" s="265">
        <v>0</v>
      </c>
      <c r="O372" s="265">
        <v>0</v>
      </c>
      <c r="P372" s="265">
        <v>0</v>
      </c>
      <c r="Q372" s="265">
        <v>0</v>
      </c>
      <c r="R372" s="265">
        <v>0</v>
      </c>
      <c r="S372" s="265">
        <f t="shared" si="101"/>
        <v>393.89</v>
      </c>
      <c r="T372" s="265">
        <v>0</v>
      </c>
      <c r="U372" s="265">
        <f t="shared" si="102"/>
        <v>-393.89</v>
      </c>
      <c r="V372" s="262">
        <v>0</v>
      </c>
      <c r="W372" s="263"/>
    </row>
    <row r="373" spans="1:23" ht="15.75" thickBot="1" x14ac:dyDescent="0.3">
      <c r="D373" s="363">
        <v>492636.29999999993</v>
      </c>
      <c r="E373" s="273">
        <v>450381.08999999997</v>
      </c>
      <c r="F373" s="350"/>
      <c r="G373" s="273">
        <f t="shared" ref="G373:P373" si="105">SUM(G352:G372)</f>
        <v>21750.139999999996</v>
      </c>
      <c r="H373" s="273">
        <f t="shared" si="105"/>
        <v>7097.09</v>
      </c>
      <c r="I373" s="273">
        <f t="shared" si="105"/>
        <v>12673.713159674378</v>
      </c>
      <c r="J373" s="273">
        <f t="shared" si="105"/>
        <v>132061.80739282098</v>
      </c>
      <c r="K373" s="273">
        <f t="shared" si="105"/>
        <v>16801.929999999997</v>
      </c>
      <c r="L373" s="273">
        <f t="shared" si="105"/>
        <v>3770.87</v>
      </c>
      <c r="M373" s="275">
        <f t="shared" si="105"/>
        <v>0</v>
      </c>
      <c r="N373" s="273">
        <f t="shared" si="105"/>
        <v>0</v>
      </c>
      <c r="O373" s="273">
        <f t="shared" si="105"/>
        <v>0</v>
      </c>
      <c r="P373" s="273">
        <f t="shared" si="105"/>
        <v>0</v>
      </c>
      <c r="Q373" s="273">
        <f t="shared" ref="Q373" si="106">SUM(Q352:Q372)</f>
        <v>0</v>
      </c>
      <c r="R373" s="273">
        <f t="shared" ref="R373" si="107">SUM(R352:R372)</f>
        <v>0</v>
      </c>
      <c r="S373" s="273">
        <f>SUM(S352:S372)</f>
        <v>194155.55055249544</v>
      </c>
      <c r="T373" s="273">
        <f>SUM(T352:T372)</f>
        <v>434775</v>
      </c>
      <c r="U373" s="273">
        <f>SUM(U352:U372)</f>
        <v>240619.44944750456</v>
      </c>
      <c r="V373" s="272">
        <f>S373/T373</f>
        <v>0.44656558116840994</v>
      </c>
      <c r="W373" s="263"/>
    </row>
    <row r="374" spans="1:23" ht="15.75" thickTop="1" x14ac:dyDescent="0.25">
      <c r="A374" t="s">
        <v>187</v>
      </c>
      <c r="G374" s="265"/>
      <c r="H374" s="265"/>
      <c r="I374" s="265"/>
      <c r="J374" s="265"/>
      <c r="K374" s="265"/>
      <c r="L374" s="265"/>
      <c r="M374" s="274"/>
      <c r="N374" s="265"/>
      <c r="O374" s="265"/>
      <c r="P374" s="265"/>
      <c r="Q374" s="265"/>
      <c r="R374" s="265"/>
      <c r="S374" s="265"/>
      <c r="T374" s="265"/>
      <c r="U374" s="265"/>
      <c r="W374" s="263"/>
    </row>
    <row r="375" spans="1:23" x14ac:dyDescent="0.25">
      <c r="A375" t="s">
        <v>55</v>
      </c>
      <c r="B375" t="s">
        <v>443</v>
      </c>
      <c r="C375" t="s">
        <v>185</v>
      </c>
      <c r="D375" s="283">
        <v>414946.19</v>
      </c>
      <c r="E375" s="283">
        <v>505685.27</v>
      </c>
      <c r="G375" s="265">
        <v>49719.710000000006</v>
      </c>
      <c r="H375" s="265">
        <v>42316.02</v>
      </c>
      <c r="I375" s="265">
        <v>45125.62</v>
      </c>
      <c r="J375" s="265">
        <v>45125.619999999981</v>
      </c>
      <c r="K375" s="265">
        <v>47938.000000000007</v>
      </c>
      <c r="L375" s="265">
        <v>46063.08</v>
      </c>
      <c r="M375" s="274">
        <v>0</v>
      </c>
      <c r="N375" s="265">
        <v>0</v>
      </c>
      <c r="O375" s="265">
        <v>0</v>
      </c>
      <c r="P375" s="265">
        <v>0</v>
      </c>
      <c r="Q375" s="265">
        <v>0</v>
      </c>
      <c r="R375" s="265">
        <v>0</v>
      </c>
      <c r="S375" s="265">
        <f t="shared" ref="S375:S380" si="108">SUM(G375:R375)</f>
        <v>276288.05</v>
      </c>
      <c r="T375" s="265">
        <v>546370.54</v>
      </c>
      <c r="U375" s="265">
        <f t="shared" ref="U375:U380" si="109">T375-S375</f>
        <v>270082.49000000005</v>
      </c>
      <c r="V375" s="262">
        <f t="shared" ref="V375:V381" si="110">S375/T375</f>
        <v>0.50567889330197047</v>
      </c>
      <c r="W375" s="263"/>
    </row>
    <row r="376" spans="1:23" x14ac:dyDescent="0.25">
      <c r="A376" t="s">
        <v>55</v>
      </c>
      <c r="B376" t="s">
        <v>442</v>
      </c>
      <c r="C376" t="s">
        <v>183</v>
      </c>
      <c r="D376" s="283">
        <v>28807.32</v>
      </c>
      <c r="E376" s="283">
        <v>1944</v>
      </c>
      <c r="G376" s="265">
        <v>2663.71</v>
      </c>
      <c r="H376" s="265">
        <v>2725.81</v>
      </c>
      <c r="I376" s="265">
        <v>2772.97</v>
      </c>
      <c r="J376" s="265">
        <v>2461.1799999999998</v>
      </c>
      <c r="K376" s="265">
        <v>2503.71</v>
      </c>
      <c r="L376" s="265">
        <v>2503.71</v>
      </c>
      <c r="M376" s="274">
        <v>0</v>
      </c>
      <c r="N376" s="265">
        <v>0</v>
      </c>
      <c r="O376" s="265">
        <v>0</v>
      </c>
      <c r="P376" s="265">
        <v>0</v>
      </c>
      <c r="Q376" s="265">
        <v>0</v>
      </c>
      <c r="R376" s="265">
        <v>0</v>
      </c>
      <c r="S376" s="265">
        <f t="shared" si="108"/>
        <v>15631.09</v>
      </c>
      <c r="T376" s="265">
        <v>1000</v>
      </c>
      <c r="U376" s="265">
        <f t="shared" si="109"/>
        <v>-14631.09</v>
      </c>
      <c r="V376" s="262">
        <f t="shared" si="110"/>
        <v>15.63109</v>
      </c>
      <c r="W376" s="263"/>
    </row>
    <row r="377" spans="1:23" x14ac:dyDescent="0.25">
      <c r="A377" t="s">
        <v>55</v>
      </c>
      <c r="B377" t="s">
        <v>441</v>
      </c>
      <c r="C377" t="s">
        <v>181</v>
      </c>
      <c r="D377" s="283">
        <v>5353.77</v>
      </c>
      <c r="E377" s="283">
        <v>4821.12</v>
      </c>
      <c r="G377" s="265">
        <v>417</v>
      </c>
      <c r="H377" s="265">
        <v>241.14</v>
      </c>
      <c r="I377" s="265">
        <v>0</v>
      </c>
      <c r="J377" s="265">
        <v>828.81</v>
      </c>
      <c r="K377" s="265">
        <v>0</v>
      </c>
      <c r="L377" s="265">
        <v>761.58</v>
      </c>
      <c r="M377" s="274">
        <v>0</v>
      </c>
      <c r="N377" s="265">
        <v>0</v>
      </c>
      <c r="O377" s="265">
        <v>0</v>
      </c>
      <c r="P377" s="265">
        <v>0</v>
      </c>
      <c r="Q377" s="265">
        <v>0</v>
      </c>
      <c r="R377" s="265">
        <v>0</v>
      </c>
      <c r="S377" s="265">
        <f t="shared" si="108"/>
        <v>2248.5299999999997</v>
      </c>
      <c r="T377" s="265">
        <v>5400</v>
      </c>
      <c r="U377" s="265">
        <f t="shared" si="109"/>
        <v>3151.4700000000003</v>
      </c>
      <c r="V377" s="262">
        <f t="shared" si="110"/>
        <v>0.4163944444444444</v>
      </c>
      <c r="W377" s="263"/>
    </row>
    <row r="378" spans="1:23" x14ac:dyDescent="0.25">
      <c r="A378" t="s">
        <v>55</v>
      </c>
      <c r="B378" t="s">
        <v>440</v>
      </c>
      <c r="C378" t="s">
        <v>179</v>
      </c>
      <c r="D378" s="283">
        <v>0</v>
      </c>
      <c r="E378" s="283">
        <v>21260.880000000001</v>
      </c>
      <c r="G378" s="265">
        <v>0</v>
      </c>
      <c r="H378" s="265">
        <v>0</v>
      </c>
      <c r="I378" s="265">
        <v>0</v>
      </c>
      <c r="J378" s="265">
        <v>0</v>
      </c>
      <c r="K378" s="265">
        <v>0</v>
      </c>
      <c r="L378" s="265">
        <v>0</v>
      </c>
      <c r="M378" s="274">
        <v>0</v>
      </c>
      <c r="N378" s="265">
        <v>0</v>
      </c>
      <c r="O378" s="265">
        <v>0</v>
      </c>
      <c r="P378" s="265">
        <v>0</v>
      </c>
      <c r="Q378" s="265">
        <v>0</v>
      </c>
      <c r="R378" s="265">
        <v>0</v>
      </c>
      <c r="S378" s="265">
        <f t="shared" si="108"/>
        <v>0</v>
      </c>
      <c r="T378" s="265">
        <v>30000</v>
      </c>
      <c r="U378" s="265">
        <f t="shared" si="109"/>
        <v>30000</v>
      </c>
      <c r="V378" s="262">
        <f t="shared" si="110"/>
        <v>0</v>
      </c>
      <c r="W378" s="263"/>
    </row>
    <row r="379" spans="1:23" x14ac:dyDescent="0.25">
      <c r="A379" t="s">
        <v>55</v>
      </c>
      <c r="B379" t="s">
        <v>439</v>
      </c>
      <c r="C379" t="s">
        <v>177</v>
      </c>
      <c r="D379" s="283">
        <v>-2618.5500000000002</v>
      </c>
      <c r="E379" s="283">
        <v>43225.95</v>
      </c>
      <c r="G379" s="265">
        <v>730.71</v>
      </c>
      <c r="H379" s="265">
        <v>-1884.82</v>
      </c>
      <c r="I379" s="265">
        <v>-733.2</v>
      </c>
      <c r="J379" s="265">
        <v>-1082.4899999999998</v>
      </c>
      <c r="K379" s="265">
        <v>1546.29</v>
      </c>
      <c r="L379" s="265">
        <v>1535.09</v>
      </c>
      <c r="M379" s="274">
        <v>0</v>
      </c>
      <c r="N379" s="265">
        <v>0</v>
      </c>
      <c r="O379" s="265">
        <v>0</v>
      </c>
      <c r="P379" s="265">
        <v>0</v>
      </c>
      <c r="Q379" s="265">
        <v>0</v>
      </c>
      <c r="R379" s="265">
        <v>0</v>
      </c>
      <c r="S379" s="265">
        <f t="shared" si="108"/>
        <v>111.58000000000015</v>
      </c>
      <c r="T379" s="265">
        <v>48725.95</v>
      </c>
      <c r="U379" s="265">
        <f t="shared" si="109"/>
        <v>48614.369999999995</v>
      </c>
      <c r="V379" s="262">
        <f t="shared" si="110"/>
        <v>2.2899502215965035E-3</v>
      </c>
      <c r="W379" s="263"/>
    </row>
    <row r="380" spans="1:23" x14ac:dyDescent="0.25">
      <c r="A380" t="s">
        <v>55</v>
      </c>
      <c r="B380" t="s">
        <v>438</v>
      </c>
      <c r="C380" t="s">
        <v>175</v>
      </c>
      <c r="D380" s="283">
        <v>6490.1</v>
      </c>
      <c r="E380" s="283">
        <v>7554.84</v>
      </c>
      <c r="G380" s="265">
        <v>513.49</v>
      </c>
      <c r="H380" s="265">
        <v>401.86</v>
      </c>
      <c r="I380" s="265">
        <v>429.34</v>
      </c>
      <c r="J380" s="265">
        <v>457.39</v>
      </c>
      <c r="K380" s="265">
        <v>519.99</v>
      </c>
      <c r="L380" s="265">
        <v>519.99</v>
      </c>
      <c r="M380" s="274">
        <v>0</v>
      </c>
      <c r="N380" s="265">
        <v>0</v>
      </c>
      <c r="O380" s="265">
        <v>0</v>
      </c>
      <c r="P380" s="265">
        <v>0</v>
      </c>
      <c r="Q380" s="265">
        <v>0</v>
      </c>
      <c r="R380" s="265">
        <v>0</v>
      </c>
      <c r="S380" s="265">
        <f t="shared" si="108"/>
        <v>2842.0599999999995</v>
      </c>
      <c r="T380" s="265">
        <v>14154.84</v>
      </c>
      <c r="U380" s="265">
        <f t="shared" si="109"/>
        <v>11312.78</v>
      </c>
      <c r="V380" s="262">
        <f t="shared" si="110"/>
        <v>0.20078361888936924</v>
      </c>
      <c r="W380" s="263"/>
    </row>
    <row r="381" spans="1:23" ht="15.75" thickBot="1" x14ac:dyDescent="0.3">
      <c r="D381" s="363">
        <v>452978.83</v>
      </c>
      <c r="E381" s="273">
        <v>584492.05999999994</v>
      </c>
      <c r="F381" s="350"/>
      <c r="G381" s="273">
        <f t="shared" ref="G381:P381" si="111">SUM(G375:G380)</f>
        <v>54044.62</v>
      </c>
      <c r="H381" s="273">
        <f t="shared" si="111"/>
        <v>43800.009999999995</v>
      </c>
      <c r="I381" s="273">
        <f t="shared" si="111"/>
        <v>47594.73</v>
      </c>
      <c r="J381" s="273">
        <f t="shared" si="111"/>
        <v>47790.50999999998</v>
      </c>
      <c r="K381" s="273">
        <f t="shared" si="111"/>
        <v>52507.990000000005</v>
      </c>
      <c r="L381" s="273">
        <f t="shared" si="111"/>
        <v>51383.45</v>
      </c>
      <c r="M381" s="275">
        <f t="shared" si="111"/>
        <v>0</v>
      </c>
      <c r="N381" s="273">
        <f t="shared" si="111"/>
        <v>0</v>
      </c>
      <c r="O381" s="273">
        <f t="shared" si="111"/>
        <v>0</v>
      </c>
      <c r="P381" s="273">
        <f t="shared" si="111"/>
        <v>0</v>
      </c>
      <c r="Q381" s="273">
        <f t="shared" ref="Q381" si="112">SUM(Q375:Q380)</f>
        <v>0</v>
      </c>
      <c r="R381" s="273">
        <f t="shared" ref="R381" si="113">SUM(R375:R380)</f>
        <v>0</v>
      </c>
      <c r="S381" s="273">
        <f>SUM(S375:S380)</f>
        <v>297121.31000000006</v>
      </c>
      <c r="T381" s="273">
        <f>SUM(T375:T380)</f>
        <v>645651.32999999996</v>
      </c>
      <c r="U381" s="273">
        <f>SUM(U375:U380)</f>
        <v>348530.02000000008</v>
      </c>
      <c r="V381" s="272">
        <f t="shared" si="110"/>
        <v>0.46018848904098142</v>
      </c>
    </row>
    <row r="382" spans="1:23" ht="15.75" thickTop="1" x14ac:dyDescent="0.25">
      <c r="A382" t="s">
        <v>174</v>
      </c>
      <c r="G382" s="265"/>
      <c r="H382" s="265"/>
      <c r="I382" s="265"/>
      <c r="J382" s="265"/>
      <c r="K382" s="265"/>
      <c r="L382" s="265"/>
      <c r="M382" s="274"/>
      <c r="N382" s="265"/>
      <c r="O382" s="265"/>
      <c r="P382" s="265"/>
      <c r="Q382" s="265"/>
      <c r="R382" s="265"/>
      <c r="S382" s="265"/>
      <c r="T382" s="265"/>
      <c r="U382" s="265"/>
      <c r="W382" s="263"/>
    </row>
    <row r="383" spans="1:23" x14ac:dyDescent="0.25">
      <c r="B383" t="s">
        <v>437</v>
      </c>
      <c r="C383" t="s">
        <v>436</v>
      </c>
      <c r="D383" s="283">
        <v>4043.74</v>
      </c>
      <c r="E383" s="283">
        <v>6000</v>
      </c>
      <c r="G383" s="265">
        <v>0</v>
      </c>
      <c r="H383" s="265">
        <v>0</v>
      </c>
      <c r="I383" s="265">
        <v>0</v>
      </c>
      <c r="J383" s="265">
        <v>0</v>
      </c>
      <c r="K383" s="265">
        <v>450</v>
      </c>
      <c r="L383" s="265">
        <v>0</v>
      </c>
      <c r="M383" s="274">
        <v>0</v>
      </c>
      <c r="N383" s="265">
        <v>0</v>
      </c>
      <c r="O383" s="265">
        <v>0</v>
      </c>
      <c r="P383" s="265">
        <v>0</v>
      </c>
      <c r="Q383" s="265">
        <v>0</v>
      </c>
      <c r="R383" s="265">
        <v>0</v>
      </c>
      <c r="S383" s="265">
        <f t="shared" ref="S383:S393" si="114">SUM(G383:R383)</f>
        <v>450</v>
      </c>
      <c r="T383" s="265">
        <v>6000</v>
      </c>
      <c r="U383" s="265">
        <f t="shared" ref="U383:U393" si="115">T383-S383</f>
        <v>5550</v>
      </c>
      <c r="V383" s="262">
        <f t="shared" ref="V383:V390" si="116">S383/T383</f>
        <v>7.4999999999999997E-2</v>
      </c>
      <c r="W383" s="263"/>
    </row>
    <row r="384" spans="1:23" x14ac:dyDescent="0.25">
      <c r="A384" t="s">
        <v>55</v>
      </c>
      <c r="B384" t="s">
        <v>435</v>
      </c>
      <c r="C384" t="s">
        <v>168</v>
      </c>
      <c r="D384" s="283">
        <v>16370.36</v>
      </c>
      <c r="E384" s="283">
        <v>18000</v>
      </c>
      <c r="G384" s="265">
        <v>47.949999999999818</v>
      </c>
      <c r="H384" s="265">
        <v>3018.9</v>
      </c>
      <c r="I384" s="265">
        <v>135.03</v>
      </c>
      <c r="J384" s="265">
        <v>493.02999999999975</v>
      </c>
      <c r="K384" s="265">
        <v>0</v>
      </c>
      <c r="L384" s="265">
        <v>2383.89</v>
      </c>
      <c r="M384" s="274">
        <v>0</v>
      </c>
      <c r="N384" s="265">
        <v>0</v>
      </c>
      <c r="O384" s="265">
        <v>0</v>
      </c>
      <c r="P384" s="265">
        <v>0</v>
      </c>
      <c r="Q384" s="265">
        <v>0</v>
      </c>
      <c r="R384" s="265">
        <v>0</v>
      </c>
      <c r="S384" s="265">
        <f t="shared" si="114"/>
        <v>6078.7999999999993</v>
      </c>
      <c r="T384" s="265">
        <v>16000</v>
      </c>
      <c r="U384" s="265">
        <f t="shared" si="115"/>
        <v>9921.2000000000007</v>
      </c>
      <c r="V384" s="262">
        <f t="shared" si="116"/>
        <v>0.37992499999999996</v>
      </c>
      <c r="W384" s="263"/>
    </row>
    <row r="385" spans="1:23" x14ac:dyDescent="0.25">
      <c r="A385" t="s">
        <v>55</v>
      </c>
      <c r="B385" t="s">
        <v>434</v>
      </c>
      <c r="C385" t="s">
        <v>292</v>
      </c>
      <c r="D385" s="283">
        <v>36666.629999999997</v>
      </c>
      <c r="E385" s="283">
        <v>49300</v>
      </c>
      <c r="G385" s="265">
        <v>1974.04</v>
      </c>
      <c r="H385" s="265">
        <v>1186.9000000000001</v>
      </c>
      <c r="I385" s="265">
        <v>981.58</v>
      </c>
      <c r="J385" s="265">
        <v>1309.0900000000011</v>
      </c>
      <c r="K385" s="265">
        <v>1168.74</v>
      </c>
      <c r="L385" s="265">
        <v>2638.92</v>
      </c>
      <c r="M385" s="274">
        <v>0</v>
      </c>
      <c r="N385" s="265">
        <v>0</v>
      </c>
      <c r="O385" s="265">
        <v>0</v>
      </c>
      <c r="P385" s="265">
        <v>0</v>
      </c>
      <c r="Q385" s="265">
        <v>0</v>
      </c>
      <c r="R385" s="265">
        <v>0</v>
      </c>
      <c r="S385" s="265">
        <f t="shared" si="114"/>
        <v>9259.27</v>
      </c>
      <c r="T385" s="265">
        <v>32000</v>
      </c>
      <c r="U385" s="265">
        <f t="shared" si="115"/>
        <v>22740.73</v>
      </c>
      <c r="V385" s="262">
        <f t="shared" si="116"/>
        <v>0.28935218750000002</v>
      </c>
      <c r="W385" s="263"/>
    </row>
    <row r="386" spans="1:23" x14ac:dyDescent="0.25">
      <c r="A386" t="s">
        <v>55</v>
      </c>
      <c r="B386" t="s">
        <v>433</v>
      </c>
      <c r="C386" t="s">
        <v>432</v>
      </c>
      <c r="D386" s="283">
        <v>7233.49</v>
      </c>
      <c r="E386" s="283">
        <v>10500</v>
      </c>
      <c r="G386" s="265">
        <v>840.31</v>
      </c>
      <c r="H386" s="265">
        <v>696.86</v>
      </c>
      <c r="I386" s="265">
        <v>767.58</v>
      </c>
      <c r="J386" s="265">
        <v>316.08999999999997</v>
      </c>
      <c r="K386" s="265">
        <v>1236.95</v>
      </c>
      <c r="L386" s="265">
        <v>346.04</v>
      </c>
      <c r="M386" s="274">
        <v>0</v>
      </c>
      <c r="N386" s="265">
        <v>0</v>
      </c>
      <c r="O386" s="265">
        <v>0</v>
      </c>
      <c r="P386" s="265">
        <v>0</v>
      </c>
      <c r="Q386" s="265">
        <v>0</v>
      </c>
      <c r="R386" s="265">
        <v>0</v>
      </c>
      <c r="S386" s="265">
        <f t="shared" si="114"/>
        <v>4203.83</v>
      </c>
      <c r="T386" s="265">
        <v>9000</v>
      </c>
      <c r="U386" s="265">
        <f t="shared" si="115"/>
        <v>4796.17</v>
      </c>
      <c r="V386" s="262">
        <f t="shared" si="116"/>
        <v>0.46709222222222219</v>
      </c>
      <c r="W386" s="263"/>
    </row>
    <row r="387" spans="1:23" x14ac:dyDescent="0.25">
      <c r="A387" t="s">
        <v>55</v>
      </c>
      <c r="B387" t="s">
        <v>431</v>
      </c>
      <c r="C387" t="s">
        <v>430</v>
      </c>
      <c r="D387" s="283">
        <v>9538.83</v>
      </c>
      <c r="E387" s="283">
        <v>11500</v>
      </c>
      <c r="G387" s="265">
        <v>1147.47</v>
      </c>
      <c r="H387" s="265">
        <v>305.08999999999997</v>
      </c>
      <c r="I387" s="265">
        <v>1719.96</v>
      </c>
      <c r="J387" s="265">
        <v>0</v>
      </c>
      <c r="K387" s="265">
        <v>347.89</v>
      </c>
      <c r="L387" s="265">
        <v>0</v>
      </c>
      <c r="M387" s="274">
        <v>0</v>
      </c>
      <c r="N387" s="265">
        <v>0</v>
      </c>
      <c r="O387" s="265">
        <v>0</v>
      </c>
      <c r="P387" s="265">
        <v>0</v>
      </c>
      <c r="Q387" s="265">
        <v>0</v>
      </c>
      <c r="R387" s="265">
        <v>0</v>
      </c>
      <c r="S387" s="265">
        <f t="shared" si="114"/>
        <v>3520.41</v>
      </c>
      <c r="T387" s="265">
        <v>5300</v>
      </c>
      <c r="U387" s="265">
        <f t="shared" si="115"/>
        <v>1779.5900000000001</v>
      </c>
      <c r="V387" s="262">
        <f t="shared" si="116"/>
        <v>0.66422830188679238</v>
      </c>
      <c r="W387" s="263"/>
    </row>
    <row r="388" spans="1:23" x14ac:dyDescent="0.25">
      <c r="A388" t="s">
        <v>55</v>
      </c>
      <c r="B388" t="s">
        <v>429</v>
      </c>
      <c r="C388" t="s">
        <v>166</v>
      </c>
      <c r="D388" s="283">
        <v>2222.7800000000002</v>
      </c>
      <c r="E388" s="283">
        <v>5000</v>
      </c>
      <c r="G388" s="265">
        <v>19.730000000000018</v>
      </c>
      <c r="H388" s="265">
        <v>211.49</v>
      </c>
      <c r="I388" s="265">
        <v>105.03</v>
      </c>
      <c r="J388" s="265">
        <v>43.94</v>
      </c>
      <c r="K388" s="265">
        <v>24.38</v>
      </c>
      <c r="L388" s="265">
        <v>79.86</v>
      </c>
      <c r="M388" s="265">
        <v>0</v>
      </c>
      <c r="N388" s="265">
        <v>0</v>
      </c>
      <c r="O388" s="265">
        <v>0</v>
      </c>
      <c r="P388" s="265">
        <v>0</v>
      </c>
      <c r="Q388" s="265">
        <v>0</v>
      </c>
      <c r="R388" s="265">
        <v>0</v>
      </c>
      <c r="S388" s="265">
        <f t="shared" si="114"/>
        <v>484.43</v>
      </c>
      <c r="T388" s="265">
        <v>6500</v>
      </c>
      <c r="U388" s="265">
        <f t="shared" si="115"/>
        <v>6015.57</v>
      </c>
      <c r="V388" s="262">
        <f t="shared" si="116"/>
        <v>7.4527692307692309E-2</v>
      </c>
      <c r="W388" s="263"/>
    </row>
    <row r="389" spans="1:23" x14ac:dyDescent="0.25">
      <c r="A389" t="s">
        <v>55</v>
      </c>
      <c r="B389" t="s">
        <v>428</v>
      </c>
      <c r="C389" t="s">
        <v>427</v>
      </c>
      <c r="D389" s="283">
        <v>5724.1</v>
      </c>
      <c r="E389" s="283">
        <v>7407</v>
      </c>
      <c r="G389" s="265">
        <v>415.94000000000028</v>
      </c>
      <c r="H389" s="265">
        <v>1718.77</v>
      </c>
      <c r="I389" s="265">
        <v>47.57</v>
      </c>
      <c r="J389" s="265">
        <v>0</v>
      </c>
      <c r="K389" s="265">
        <v>0</v>
      </c>
      <c r="L389" s="265">
        <v>387.86</v>
      </c>
      <c r="M389" s="265">
        <v>0</v>
      </c>
      <c r="N389" s="265">
        <v>0</v>
      </c>
      <c r="O389" s="265">
        <v>0</v>
      </c>
      <c r="P389" s="265">
        <v>0</v>
      </c>
      <c r="Q389" s="265">
        <v>0</v>
      </c>
      <c r="R389" s="265">
        <v>0</v>
      </c>
      <c r="S389" s="265">
        <f t="shared" si="114"/>
        <v>2570.1400000000003</v>
      </c>
      <c r="T389" s="265">
        <v>12000</v>
      </c>
      <c r="U389" s="265">
        <f t="shared" si="115"/>
        <v>9429.86</v>
      </c>
      <c r="V389" s="262">
        <f t="shared" si="116"/>
        <v>0.21417833333333336</v>
      </c>
      <c r="W389" s="263"/>
    </row>
    <row r="390" spans="1:23" x14ac:dyDescent="0.25">
      <c r="A390" t="s">
        <v>55</v>
      </c>
      <c r="B390" t="s">
        <v>426</v>
      </c>
      <c r="C390" t="s">
        <v>289</v>
      </c>
      <c r="D390" s="283">
        <v>211.97</v>
      </c>
      <c r="E390" s="283">
        <v>1800</v>
      </c>
      <c r="G390" s="265">
        <v>0</v>
      </c>
      <c r="H390" s="265">
        <v>0</v>
      </c>
      <c r="I390" s="265">
        <v>29.56</v>
      </c>
      <c r="J390" s="265">
        <v>0</v>
      </c>
      <c r="K390" s="265">
        <v>457.46</v>
      </c>
      <c r="L390" s="265">
        <v>0</v>
      </c>
      <c r="M390" s="265">
        <v>0</v>
      </c>
      <c r="N390" s="265">
        <v>0</v>
      </c>
      <c r="O390" s="265">
        <v>0</v>
      </c>
      <c r="P390" s="265">
        <v>0</v>
      </c>
      <c r="Q390" s="265">
        <v>0</v>
      </c>
      <c r="R390" s="265">
        <v>0</v>
      </c>
      <c r="S390" s="265">
        <f t="shared" si="114"/>
        <v>487.02</v>
      </c>
      <c r="T390" s="265">
        <v>1300</v>
      </c>
      <c r="U390" s="265">
        <f t="shared" si="115"/>
        <v>812.98</v>
      </c>
      <c r="V390" s="262">
        <f t="shared" si="116"/>
        <v>0.37463076923076921</v>
      </c>
      <c r="W390" s="263"/>
    </row>
    <row r="391" spans="1:23" x14ac:dyDescent="0.25">
      <c r="A391" t="s">
        <v>55</v>
      </c>
      <c r="B391" t="s">
        <v>425</v>
      </c>
      <c r="C391" t="s">
        <v>164</v>
      </c>
      <c r="D391" s="283">
        <v>1087.76</v>
      </c>
      <c r="E391" s="283">
        <v>0</v>
      </c>
      <c r="G391" s="265">
        <v>0</v>
      </c>
      <c r="H391" s="265">
        <v>0</v>
      </c>
      <c r="I391" s="265">
        <v>0</v>
      </c>
      <c r="J391" s="265">
        <v>0</v>
      </c>
      <c r="K391" s="265">
        <v>0</v>
      </c>
      <c r="L391" s="265">
        <v>0</v>
      </c>
      <c r="M391" s="265">
        <v>0</v>
      </c>
      <c r="N391" s="265">
        <v>0</v>
      </c>
      <c r="O391" s="265">
        <v>0</v>
      </c>
      <c r="P391" s="265">
        <v>0</v>
      </c>
      <c r="Q391" s="265">
        <v>0</v>
      </c>
      <c r="R391" s="265">
        <v>0</v>
      </c>
      <c r="S391" s="265">
        <f t="shared" si="114"/>
        <v>0</v>
      </c>
      <c r="T391" s="265">
        <v>0</v>
      </c>
      <c r="U391" s="265">
        <f t="shared" si="115"/>
        <v>0</v>
      </c>
      <c r="V391" s="262">
        <v>0</v>
      </c>
      <c r="W391" s="263"/>
    </row>
    <row r="392" spans="1:23" x14ac:dyDescent="0.25">
      <c r="A392" t="s">
        <v>55</v>
      </c>
      <c r="B392" t="s">
        <v>424</v>
      </c>
      <c r="C392" t="s">
        <v>423</v>
      </c>
      <c r="D392" s="283">
        <v>221.99</v>
      </c>
      <c r="E392" s="283">
        <v>10000</v>
      </c>
      <c r="G392" s="265">
        <v>0</v>
      </c>
      <c r="H392" s="265">
        <v>272.51</v>
      </c>
      <c r="I392" s="265">
        <v>137.63</v>
      </c>
      <c r="J392" s="265">
        <v>1.18</v>
      </c>
      <c r="K392" s="265">
        <v>0</v>
      </c>
      <c r="L392" s="265">
        <v>0</v>
      </c>
      <c r="M392" s="265">
        <v>0</v>
      </c>
      <c r="N392" s="265">
        <v>0</v>
      </c>
      <c r="O392" s="265">
        <v>0</v>
      </c>
      <c r="P392" s="265">
        <v>0</v>
      </c>
      <c r="Q392" s="265">
        <v>0</v>
      </c>
      <c r="R392" s="265">
        <v>0</v>
      </c>
      <c r="S392" s="265">
        <f t="shared" si="114"/>
        <v>411.32</v>
      </c>
      <c r="T392" s="265">
        <v>10000</v>
      </c>
      <c r="U392" s="265">
        <f t="shared" si="115"/>
        <v>9588.68</v>
      </c>
      <c r="V392" s="262">
        <f>S392/T392</f>
        <v>4.1132000000000002E-2</v>
      </c>
      <c r="W392" s="263"/>
    </row>
    <row r="393" spans="1:23" x14ac:dyDescent="0.25">
      <c r="A393" t="s">
        <v>55</v>
      </c>
      <c r="B393" t="s">
        <v>422</v>
      </c>
      <c r="C393" t="s">
        <v>276</v>
      </c>
      <c r="D393" s="283">
        <v>41938.82</v>
      </c>
      <c r="E393" s="283">
        <v>48500</v>
      </c>
      <c r="G393" s="265">
        <v>6028.4999999999982</v>
      </c>
      <c r="H393" s="265">
        <v>5691.41</v>
      </c>
      <c r="I393" s="265">
        <v>4808.76</v>
      </c>
      <c r="J393" s="265">
        <v>2635.63</v>
      </c>
      <c r="K393" s="265">
        <v>1194.1300000000001</v>
      </c>
      <c r="L393" s="265">
        <v>2064.73</v>
      </c>
      <c r="M393" s="265">
        <v>0</v>
      </c>
      <c r="N393" s="265">
        <v>0</v>
      </c>
      <c r="O393" s="265">
        <v>0</v>
      </c>
      <c r="P393" s="265">
        <v>0</v>
      </c>
      <c r="Q393" s="265">
        <v>0</v>
      </c>
      <c r="R393" s="265">
        <v>0</v>
      </c>
      <c r="S393" s="265">
        <f t="shared" si="114"/>
        <v>22423.16</v>
      </c>
      <c r="T393" s="265">
        <v>40400</v>
      </c>
      <c r="U393" s="265">
        <f t="shared" si="115"/>
        <v>17976.84</v>
      </c>
      <c r="V393" s="262">
        <f>S393/T393</f>
        <v>0.55502871287128708</v>
      </c>
    </row>
    <row r="394" spans="1:23" ht="15.75" thickBot="1" x14ac:dyDescent="0.3">
      <c r="D394" s="363">
        <v>125260.47</v>
      </c>
      <c r="E394" s="273">
        <v>168007</v>
      </c>
      <c r="F394" s="350"/>
      <c r="G394" s="273">
        <f t="shared" ref="G394:P394" si="117">SUM(G383:G393)</f>
        <v>10473.939999999999</v>
      </c>
      <c r="H394" s="273">
        <f t="shared" si="117"/>
        <v>13101.93</v>
      </c>
      <c r="I394" s="273">
        <f t="shared" si="117"/>
        <v>8732.7000000000007</v>
      </c>
      <c r="J394" s="273">
        <f t="shared" si="117"/>
        <v>4798.9600000000009</v>
      </c>
      <c r="K394" s="273">
        <f t="shared" si="117"/>
        <v>4879.55</v>
      </c>
      <c r="L394" s="273">
        <f t="shared" si="117"/>
        <v>7901.2999999999993</v>
      </c>
      <c r="M394" s="273">
        <f t="shared" si="117"/>
        <v>0</v>
      </c>
      <c r="N394" s="273">
        <f t="shared" si="117"/>
        <v>0</v>
      </c>
      <c r="O394" s="273">
        <f t="shared" si="117"/>
        <v>0</v>
      </c>
      <c r="P394" s="273">
        <f t="shared" si="117"/>
        <v>0</v>
      </c>
      <c r="Q394" s="273">
        <f t="shared" ref="Q394" si="118">SUM(Q383:Q393)</f>
        <v>0</v>
      </c>
      <c r="R394" s="273">
        <f t="shared" ref="R394" si="119">SUM(R383:R393)</f>
        <v>0</v>
      </c>
      <c r="S394" s="273">
        <f>SUM(S383:S393)</f>
        <v>49888.380000000005</v>
      </c>
      <c r="T394" s="273">
        <f>SUM(T383:T393)</f>
        <v>138500</v>
      </c>
      <c r="U394" s="273">
        <f>SUM(U383:U393)</f>
        <v>88611.62</v>
      </c>
      <c r="V394" s="272">
        <f>S394/T394</f>
        <v>0.36020490974729247</v>
      </c>
    </row>
    <row r="395" spans="1:23" ht="15.75" thickTop="1" x14ac:dyDescent="0.25"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</row>
    <row r="396" spans="1:23" x14ac:dyDescent="0.25">
      <c r="A396" t="s">
        <v>145</v>
      </c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W396" s="263"/>
    </row>
    <row r="397" spans="1:23" x14ac:dyDescent="0.25">
      <c r="A397" t="s">
        <v>55</v>
      </c>
      <c r="B397" t="s">
        <v>421</v>
      </c>
      <c r="C397" t="s">
        <v>420</v>
      </c>
      <c r="D397" s="283">
        <v>17613.84</v>
      </c>
      <c r="E397" s="283">
        <v>48000</v>
      </c>
      <c r="G397" s="274">
        <v>512</v>
      </c>
      <c r="H397" s="274">
        <v>1870</v>
      </c>
      <c r="I397" s="274">
        <v>1089.0400000000009</v>
      </c>
      <c r="J397" s="274">
        <v>33120</v>
      </c>
      <c r="K397" s="274">
        <v>0</v>
      </c>
      <c r="L397" s="274">
        <v>0</v>
      </c>
      <c r="M397" s="274">
        <v>0</v>
      </c>
      <c r="N397" s="274">
        <v>0</v>
      </c>
      <c r="O397" s="274">
        <v>0</v>
      </c>
      <c r="P397" s="274">
        <v>0</v>
      </c>
      <c r="Q397" s="274">
        <v>0</v>
      </c>
      <c r="R397" s="274">
        <v>0</v>
      </c>
      <c r="S397" s="274">
        <f t="shared" ref="S397:S405" si="120">SUM(G397:R397)</f>
        <v>36591.040000000001</v>
      </c>
      <c r="T397" s="265">
        <v>11250</v>
      </c>
      <c r="U397" s="265">
        <f t="shared" ref="U397:U405" si="121">T397-S397</f>
        <v>-25341.040000000001</v>
      </c>
      <c r="V397" s="262">
        <f>S397/T397</f>
        <v>3.2525368888888888</v>
      </c>
      <c r="W397" s="263"/>
    </row>
    <row r="398" spans="1:23" x14ac:dyDescent="0.25">
      <c r="A398" t="s">
        <v>55</v>
      </c>
      <c r="B398" t="s">
        <v>419</v>
      </c>
      <c r="C398" t="s">
        <v>272</v>
      </c>
      <c r="D398" s="283">
        <v>241.51</v>
      </c>
      <c r="E398" s="283">
        <v>0</v>
      </c>
      <c r="G398" s="274">
        <v>0</v>
      </c>
      <c r="H398" s="274">
        <v>0</v>
      </c>
      <c r="I398" s="274">
        <v>0</v>
      </c>
      <c r="J398" s="274">
        <v>0</v>
      </c>
      <c r="K398" s="274">
        <v>0</v>
      </c>
      <c r="L398" s="274">
        <v>0</v>
      </c>
      <c r="M398" s="274">
        <v>0</v>
      </c>
      <c r="N398" s="274">
        <v>0</v>
      </c>
      <c r="O398" s="274">
        <v>0</v>
      </c>
      <c r="P398" s="274">
        <v>0</v>
      </c>
      <c r="Q398" s="274">
        <v>0</v>
      </c>
      <c r="R398" s="274">
        <v>0</v>
      </c>
      <c r="S398" s="274">
        <f t="shared" si="120"/>
        <v>0</v>
      </c>
      <c r="T398" s="265">
        <v>0</v>
      </c>
      <c r="U398" s="265">
        <f t="shared" si="121"/>
        <v>0</v>
      </c>
      <c r="V398" s="262">
        <v>0</v>
      </c>
      <c r="W398" s="263"/>
    </row>
    <row r="399" spans="1:23" x14ac:dyDescent="0.25">
      <c r="B399" t="s">
        <v>848</v>
      </c>
      <c r="C399" t="s">
        <v>418</v>
      </c>
      <c r="D399" s="283">
        <v>0</v>
      </c>
      <c r="E399" s="283">
        <v>0</v>
      </c>
      <c r="G399" s="274">
        <v>0</v>
      </c>
      <c r="H399" s="274">
        <v>0</v>
      </c>
      <c r="I399" s="274">
        <v>0</v>
      </c>
      <c r="J399" s="274">
        <v>0</v>
      </c>
      <c r="K399" s="274">
        <v>0</v>
      </c>
      <c r="L399" s="274">
        <v>0</v>
      </c>
      <c r="M399" s="274">
        <v>0</v>
      </c>
      <c r="N399" s="274">
        <v>0</v>
      </c>
      <c r="O399" s="274">
        <v>0</v>
      </c>
      <c r="P399" s="274">
        <v>0</v>
      </c>
      <c r="Q399" s="274">
        <v>0</v>
      </c>
      <c r="R399" s="274">
        <v>0</v>
      </c>
      <c r="S399" s="274">
        <f t="shared" si="120"/>
        <v>0</v>
      </c>
      <c r="T399" s="265">
        <v>0</v>
      </c>
      <c r="U399" s="265">
        <f t="shared" si="121"/>
        <v>0</v>
      </c>
      <c r="V399" s="262">
        <v>0</v>
      </c>
      <c r="W399" s="263"/>
    </row>
    <row r="400" spans="1:23" x14ac:dyDescent="0.25">
      <c r="A400" t="s">
        <v>55</v>
      </c>
      <c r="B400" t="s">
        <v>417</v>
      </c>
      <c r="C400" t="s">
        <v>143</v>
      </c>
      <c r="D400" s="283">
        <v>4372.97</v>
      </c>
      <c r="E400" s="283">
        <v>16875</v>
      </c>
      <c r="G400" s="274">
        <v>0</v>
      </c>
      <c r="H400" s="274">
        <v>36.74</v>
      </c>
      <c r="I400" s="274">
        <v>17.27</v>
      </c>
      <c r="J400" s="274">
        <v>0</v>
      </c>
      <c r="K400" s="274">
        <v>0</v>
      </c>
      <c r="L400" s="274">
        <v>0</v>
      </c>
      <c r="M400" s="274">
        <v>0</v>
      </c>
      <c r="N400" s="274">
        <v>0</v>
      </c>
      <c r="O400" s="274">
        <v>0</v>
      </c>
      <c r="P400" s="274">
        <v>0</v>
      </c>
      <c r="Q400" s="274">
        <v>0</v>
      </c>
      <c r="R400" s="274">
        <v>0</v>
      </c>
      <c r="S400" s="274">
        <f t="shared" si="120"/>
        <v>54.010000000000005</v>
      </c>
      <c r="T400" s="265">
        <v>15996</v>
      </c>
      <c r="U400" s="265">
        <f t="shared" si="121"/>
        <v>15941.99</v>
      </c>
      <c r="V400" s="262">
        <f>S400/T400</f>
        <v>3.3764691172793199E-3</v>
      </c>
      <c r="W400" s="263"/>
    </row>
    <row r="401" spans="1:23" x14ac:dyDescent="0.25">
      <c r="A401" t="s">
        <v>55</v>
      </c>
      <c r="B401" t="s">
        <v>416</v>
      </c>
      <c r="C401" t="s">
        <v>270</v>
      </c>
      <c r="D401" s="283">
        <v>504.21</v>
      </c>
      <c r="E401" s="283">
        <v>0</v>
      </c>
      <c r="G401" s="274">
        <v>107.25</v>
      </c>
      <c r="H401" s="274">
        <v>108.18</v>
      </c>
      <c r="I401" s="274">
        <v>114.81</v>
      </c>
      <c r="J401" s="274">
        <v>99.7</v>
      </c>
      <c r="K401" s="274">
        <v>13.2</v>
      </c>
      <c r="L401" s="274">
        <v>376.36</v>
      </c>
      <c r="M401" s="274">
        <v>0</v>
      </c>
      <c r="N401" s="274">
        <v>0</v>
      </c>
      <c r="O401" s="274">
        <v>0</v>
      </c>
      <c r="P401" s="274">
        <v>0</v>
      </c>
      <c r="Q401" s="274">
        <v>0</v>
      </c>
      <c r="R401" s="274">
        <v>0</v>
      </c>
      <c r="S401" s="274">
        <f t="shared" si="120"/>
        <v>819.5</v>
      </c>
      <c r="T401" s="265">
        <v>0</v>
      </c>
      <c r="U401" s="265">
        <f t="shared" si="121"/>
        <v>-819.5</v>
      </c>
      <c r="V401" s="262">
        <v>0</v>
      </c>
      <c r="W401" s="263"/>
    </row>
    <row r="402" spans="1:23" x14ac:dyDescent="0.25">
      <c r="A402" t="s">
        <v>55</v>
      </c>
      <c r="B402" t="s">
        <v>415</v>
      </c>
      <c r="C402" t="s">
        <v>141</v>
      </c>
      <c r="D402" s="283">
        <v>20043.02</v>
      </c>
      <c r="E402" s="283">
        <v>21800</v>
      </c>
      <c r="G402" s="274">
        <v>2865.32</v>
      </c>
      <c r="H402" s="274">
        <v>1065.32</v>
      </c>
      <c r="I402" s="274">
        <v>1065.1600000000001</v>
      </c>
      <c r="J402" s="274">
        <v>3992.4</v>
      </c>
      <c r="K402" s="274">
        <v>1055.4000000000001</v>
      </c>
      <c r="L402" s="274">
        <v>4419.09</v>
      </c>
      <c r="M402" s="274">
        <v>0</v>
      </c>
      <c r="N402" s="274">
        <v>0</v>
      </c>
      <c r="O402" s="274">
        <v>0</v>
      </c>
      <c r="P402" s="274">
        <v>0</v>
      </c>
      <c r="Q402" s="274">
        <v>0</v>
      </c>
      <c r="R402" s="274">
        <v>0</v>
      </c>
      <c r="S402" s="274">
        <f t="shared" si="120"/>
        <v>14462.69</v>
      </c>
      <c r="T402" s="265">
        <v>33101</v>
      </c>
      <c r="U402" s="265">
        <f t="shared" si="121"/>
        <v>18638.309999999998</v>
      </c>
      <c r="V402" s="262">
        <f>S402/T402</f>
        <v>0.43692607474094441</v>
      </c>
      <c r="W402" s="263"/>
    </row>
    <row r="403" spans="1:23" x14ac:dyDescent="0.25">
      <c r="A403" t="s">
        <v>55</v>
      </c>
      <c r="B403" t="s">
        <v>926</v>
      </c>
      <c r="C403" t="s">
        <v>414</v>
      </c>
      <c r="D403" s="283">
        <v>69.709999999999994</v>
      </c>
      <c r="E403" s="283">
        <v>0</v>
      </c>
      <c r="G403" s="274">
        <v>0</v>
      </c>
      <c r="H403" s="274">
        <v>0</v>
      </c>
      <c r="I403" s="274">
        <v>0</v>
      </c>
      <c r="J403" s="274">
        <v>0</v>
      </c>
      <c r="K403" s="274">
        <v>0</v>
      </c>
      <c r="L403" s="274">
        <v>0</v>
      </c>
      <c r="M403" s="274">
        <v>0</v>
      </c>
      <c r="N403" s="274">
        <v>0</v>
      </c>
      <c r="O403" s="274">
        <v>0</v>
      </c>
      <c r="P403" s="274">
        <v>0</v>
      </c>
      <c r="Q403" s="274">
        <v>0</v>
      </c>
      <c r="R403" s="274">
        <v>0</v>
      </c>
      <c r="S403" s="274">
        <f t="shared" si="120"/>
        <v>0</v>
      </c>
      <c r="T403" s="265">
        <v>0</v>
      </c>
      <c r="U403" s="265">
        <f t="shared" si="121"/>
        <v>0</v>
      </c>
      <c r="V403" s="262">
        <v>0</v>
      </c>
      <c r="W403" s="263"/>
    </row>
    <row r="404" spans="1:23" x14ac:dyDescent="0.25">
      <c r="A404" t="s">
        <v>55</v>
      </c>
      <c r="B404" t="s">
        <v>413</v>
      </c>
      <c r="C404" t="s">
        <v>135</v>
      </c>
      <c r="D404" s="283">
        <v>2185.2800000000002</v>
      </c>
      <c r="E404" s="283">
        <v>2500</v>
      </c>
      <c r="G404" s="274">
        <v>592.48</v>
      </c>
      <c r="H404" s="274">
        <v>0</v>
      </c>
      <c r="I404" s="274">
        <v>0</v>
      </c>
      <c r="J404" s="274">
        <v>0</v>
      </c>
      <c r="K404" s="274">
        <v>423.32</v>
      </c>
      <c r="L404" s="274">
        <v>99.97</v>
      </c>
      <c r="M404" s="274">
        <v>0</v>
      </c>
      <c r="N404" s="274">
        <v>0</v>
      </c>
      <c r="O404" s="274">
        <v>0</v>
      </c>
      <c r="P404" s="274">
        <v>0</v>
      </c>
      <c r="Q404" s="274">
        <v>0</v>
      </c>
      <c r="R404" s="274">
        <v>0</v>
      </c>
      <c r="S404" s="274">
        <f t="shared" si="120"/>
        <v>1115.77</v>
      </c>
      <c r="T404" s="265">
        <v>15000</v>
      </c>
      <c r="U404" s="265">
        <f t="shared" si="121"/>
        <v>13884.23</v>
      </c>
      <c r="V404" s="262">
        <f>S404/T404</f>
        <v>7.4384666666666668E-2</v>
      </c>
      <c r="W404" s="263"/>
    </row>
    <row r="405" spans="1:23" x14ac:dyDescent="0.25">
      <c r="A405" t="s">
        <v>55</v>
      </c>
      <c r="B405" t="s">
        <v>412</v>
      </c>
      <c r="C405" t="s">
        <v>411</v>
      </c>
      <c r="D405" s="283">
        <v>520.84</v>
      </c>
      <c r="E405" s="283">
        <v>4282</v>
      </c>
      <c r="G405" s="274">
        <v>0</v>
      </c>
      <c r="H405" s="274">
        <v>0</v>
      </c>
      <c r="I405" s="274">
        <v>0</v>
      </c>
      <c r="J405" s="274">
        <v>0</v>
      </c>
      <c r="K405" s="274">
        <v>0</v>
      </c>
      <c r="L405" s="274">
        <v>0</v>
      </c>
      <c r="M405" s="274">
        <v>0</v>
      </c>
      <c r="N405" s="274">
        <v>0</v>
      </c>
      <c r="O405" s="274">
        <v>0</v>
      </c>
      <c r="P405" s="274">
        <v>0</v>
      </c>
      <c r="Q405" s="274">
        <v>0</v>
      </c>
      <c r="R405" s="274">
        <v>0</v>
      </c>
      <c r="S405" s="274">
        <f t="shared" si="120"/>
        <v>0</v>
      </c>
      <c r="T405" s="265">
        <v>2300</v>
      </c>
      <c r="U405" s="265">
        <f t="shared" si="121"/>
        <v>2300</v>
      </c>
      <c r="V405" s="262">
        <f>S405/T405</f>
        <v>0</v>
      </c>
      <c r="W405" s="263"/>
    </row>
    <row r="406" spans="1:23" ht="15.75" thickBot="1" x14ac:dyDescent="0.3">
      <c r="D406" s="368">
        <v>45551.38</v>
      </c>
      <c r="E406" s="275">
        <v>93457</v>
      </c>
      <c r="F406" s="350"/>
      <c r="G406" s="275">
        <f t="shared" ref="G406:P406" si="122">SUM(G397:G405)</f>
        <v>4077.05</v>
      </c>
      <c r="H406" s="275">
        <f t="shared" si="122"/>
        <v>3080.24</v>
      </c>
      <c r="I406" s="275">
        <f t="shared" si="122"/>
        <v>2286.2800000000007</v>
      </c>
      <c r="J406" s="275">
        <f t="shared" si="122"/>
        <v>37212.1</v>
      </c>
      <c r="K406" s="275">
        <f t="shared" si="122"/>
        <v>1491.92</v>
      </c>
      <c r="L406" s="275">
        <f t="shared" si="122"/>
        <v>4895.42</v>
      </c>
      <c r="M406" s="275">
        <f t="shared" si="122"/>
        <v>0</v>
      </c>
      <c r="N406" s="275">
        <f t="shared" si="122"/>
        <v>0</v>
      </c>
      <c r="O406" s="275">
        <f t="shared" si="122"/>
        <v>0</v>
      </c>
      <c r="P406" s="275">
        <f t="shared" si="122"/>
        <v>0</v>
      </c>
      <c r="Q406" s="275">
        <f t="shared" ref="Q406" si="123">SUM(Q397:Q405)</f>
        <v>0</v>
      </c>
      <c r="R406" s="275">
        <f t="shared" ref="R406" si="124">SUM(R397:R405)</f>
        <v>0</v>
      </c>
      <c r="S406" s="275">
        <f>SUM(S397:S405)</f>
        <v>53043.01</v>
      </c>
      <c r="T406" s="273">
        <f>SUM(T397:T405)</f>
        <v>77647</v>
      </c>
      <c r="U406" s="273">
        <f>SUM(U397:U405)</f>
        <v>24603.989999999998</v>
      </c>
      <c r="V406" s="272">
        <f>S406/T406</f>
        <v>0.68313019176529677</v>
      </c>
    </row>
    <row r="407" spans="1:23" ht="15.75" thickTop="1" x14ac:dyDescent="0.25">
      <c r="A407" t="s">
        <v>132</v>
      </c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65"/>
      <c r="U407" s="265"/>
      <c r="W407" s="263"/>
    </row>
    <row r="408" spans="1:23" ht="15.75" thickBot="1" x14ac:dyDescent="0.3">
      <c r="A408" t="s">
        <v>55</v>
      </c>
      <c r="B408" t="s">
        <v>410</v>
      </c>
      <c r="C408" t="s">
        <v>262</v>
      </c>
      <c r="D408" s="283">
        <v>0</v>
      </c>
      <c r="E408" s="283">
        <v>58474.81</v>
      </c>
      <c r="G408" s="275">
        <v>0</v>
      </c>
      <c r="H408" s="275">
        <v>0</v>
      </c>
      <c r="I408" s="275">
        <v>0</v>
      </c>
      <c r="J408" s="275">
        <v>0</v>
      </c>
      <c r="K408" s="275">
        <v>0</v>
      </c>
      <c r="L408" s="275">
        <v>899.97</v>
      </c>
      <c r="M408" s="275">
        <v>0</v>
      </c>
      <c r="N408" s="275">
        <v>0</v>
      </c>
      <c r="O408" s="275">
        <v>0</v>
      </c>
      <c r="P408" s="275">
        <v>0</v>
      </c>
      <c r="Q408" s="275">
        <v>0</v>
      </c>
      <c r="R408" s="275">
        <v>0</v>
      </c>
      <c r="S408" s="275">
        <f>SUM(G408:R408)</f>
        <v>899.97</v>
      </c>
      <c r="T408" s="273">
        <v>104830.42</v>
      </c>
      <c r="U408" s="273">
        <f>T408-S408</f>
        <v>103930.45</v>
      </c>
      <c r="V408" s="272">
        <f>S408/T408</f>
        <v>8.5850080539599093E-3</v>
      </c>
    </row>
    <row r="409" spans="1:23" ht="15.75" thickTop="1" x14ac:dyDescent="0.25">
      <c r="G409" s="288"/>
      <c r="H409" s="288"/>
      <c r="I409" s="288"/>
      <c r="J409" s="288"/>
      <c r="K409" s="288"/>
      <c r="L409" s="288"/>
      <c r="M409" s="288"/>
      <c r="N409" s="288"/>
      <c r="O409" s="288"/>
      <c r="P409" s="288"/>
      <c r="Q409" s="288"/>
      <c r="R409" s="288"/>
      <c r="S409" s="288"/>
      <c r="T409" s="285"/>
      <c r="U409" s="285"/>
      <c r="V409" s="284"/>
    </row>
    <row r="410" spans="1:23" ht="17.25" x14ac:dyDescent="0.3">
      <c r="C410" s="271" t="s">
        <v>409</v>
      </c>
      <c r="D410" s="369">
        <v>5730350.5599999987</v>
      </c>
      <c r="E410" s="287">
        <v>5414096.4299999997</v>
      </c>
      <c r="F410" s="355"/>
      <c r="G410" s="287">
        <f t="shared" ref="G410:R410" si="125">G408+G406+G394+G381+G373+G349</f>
        <v>291326.42999999993</v>
      </c>
      <c r="H410" s="287">
        <f t="shared" si="125"/>
        <v>292862.14</v>
      </c>
      <c r="I410" s="287">
        <f t="shared" si="125"/>
        <v>279068.61315967434</v>
      </c>
      <c r="J410" s="287">
        <f t="shared" si="125"/>
        <v>781525.30739282095</v>
      </c>
      <c r="K410" s="287">
        <f t="shared" si="125"/>
        <v>262304.38</v>
      </c>
      <c r="L410" s="287">
        <f t="shared" si="125"/>
        <v>318124.94999999995</v>
      </c>
      <c r="M410" s="287">
        <f t="shared" si="125"/>
        <v>0</v>
      </c>
      <c r="N410" s="287">
        <f t="shared" si="125"/>
        <v>0</v>
      </c>
      <c r="O410" s="287">
        <f t="shared" si="125"/>
        <v>0</v>
      </c>
      <c r="P410" s="287">
        <f t="shared" si="125"/>
        <v>0</v>
      </c>
      <c r="Q410" s="287">
        <f t="shared" si="125"/>
        <v>0</v>
      </c>
      <c r="R410" s="287">
        <f t="shared" si="125"/>
        <v>0</v>
      </c>
      <c r="S410" s="287">
        <f>S408+S406+S394+S381+S373+S349</f>
        <v>2225211.8205524953</v>
      </c>
      <c r="T410" s="270">
        <f>T408+T406+T394+T381+T373+T349</f>
        <v>5530097.4800000004</v>
      </c>
      <c r="U410" s="270">
        <f>U408+U406+U394+U381+U373+U349</f>
        <v>3304885.6594475051</v>
      </c>
      <c r="V410" s="269">
        <f>S410/T410</f>
        <v>0.40238202465691347</v>
      </c>
    </row>
    <row r="411" spans="1:23" ht="17.25" x14ac:dyDescent="0.3"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87"/>
      <c r="R411" s="287"/>
      <c r="S411" s="287"/>
      <c r="T411" s="265"/>
      <c r="U411" s="265"/>
    </row>
    <row r="412" spans="1:23" ht="15.75" thickBot="1" x14ac:dyDescent="0.3"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4"/>
      <c r="R412" s="274"/>
      <c r="S412" s="274"/>
      <c r="T412" s="265"/>
      <c r="U412" s="265"/>
    </row>
    <row r="413" spans="1:23" ht="15.75" thickBot="1" x14ac:dyDescent="0.3">
      <c r="A413" s="13" t="s">
        <v>408</v>
      </c>
      <c r="G413" s="405" t="s">
        <v>253</v>
      </c>
      <c r="H413" s="406"/>
      <c r="I413" s="406"/>
      <c r="J413" s="406"/>
      <c r="K413" s="406"/>
      <c r="L413" s="406"/>
      <c r="M413" s="406"/>
      <c r="N413" s="406"/>
      <c r="O413" s="406"/>
      <c r="P413" s="406"/>
      <c r="Q413" s="406"/>
      <c r="R413" s="406"/>
      <c r="S413" s="407"/>
      <c r="T413" s="265"/>
      <c r="U413" s="280" t="s">
        <v>252</v>
      </c>
    </row>
    <row r="414" spans="1:23" x14ac:dyDescent="0.25">
      <c r="A414" t="s">
        <v>251</v>
      </c>
      <c r="D414" s="361" t="s">
        <v>954</v>
      </c>
      <c r="E414" s="373" t="s">
        <v>956</v>
      </c>
      <c r="G414" s="279" t="s">
        <v>868</v>
      </c>
      <c r="H414" s="279" t="s">
        <v>869</v>
      </c>
      <c r="I414" s="279" t="s">
        <v>870</v>
      </c>
      <c r="J414" s="279" t="s">
        <v>871</v>
      </c>
      <c r="K414" s="279" t="s">
        <v>872</v>
      </c>
      <c r="L414" s="279" t="s">
        <v>873</v>
      </c>
      <c r="M414" s="279" t="s">
        <v>874</v>
      </c>
      <c r="N414" s="279" t="s">
        <v>875</v>
      </c>
      <c r="O414" s="279" t="s">
        <v>876</v>
      </c>
      <c r="P414" s="279" t="s">
        <v>877</v>
      </c>
      <c r="Q414" s="279" t="s">
        <v>878</v>
      </c>
      <c r="R414" s="279" t="s">
        <v>879</v>
      </c>
      <c r="S414" s="286" t="s">
        <v>250</v>
      </c>
      <c r="T414" s="277" t="s">
        <v>880</v>
      </c>
      <c r="U414" s="277" t="s">
        <v>249</v>
      </c>
      <c r="V414" s="276" t="s">
        <v>248</v>
      </c>
      <c r="W414" s="263"/>
    </row>
    <row r="415" spans="1:23" x14ac:dyDescent="0.25">
      <c r="A415" t="s">
        <v>55</v>
      </c>
      <c r="B415" t="s">
        <v>407</v>
      </c>
      <c r="C415" t="s">
        <v>406</v>
      </c>
      <c r="D415" s="283">
        <v>102004.13</v>
      </c>
      <c r="E415" s="283">
        <v>118000</v>
      </c>
      <c r="G415" s="274">
        <v>9833.34</v>
      </c>
      <c r="H415" s="274">
        <v>9833.34</v>
      </c>
      <c r="I415" s="274">
        <v>9833.34</v>
      </c>
      <c r="J415" s="274">
        <v>9833.34</v>
      </c>
      <c r="K415" s="274">
        <v>9833.34</v>
      </c>
      <c r="L415" s="274">
        <v>9833.33</v>
      </c>
      <c r="M415" s="274">
        <v>0</v>
      </c>
      <c r="N415" s="274">
        <v>0</v>
      </c>
      <c r="O415" s="274">
        <v>0</v>
      </c>
      <c r="P415" s="274">
        <v>0</v>
      </c>
      <c r="Q415" s="274">
        <v>0</v>
      </c>
      <c r="R415" s="274">
        <v>0</v>
      </c>
      <c r="S415" s="274">
        <f t="shared" ref="S415:S450" si="126">SUM(G415:R415)</f>
        <v>59000.03</v>
      </c>
      <c r="T415" s="265">
        <v>118000</v>
      </c>
      <c r="U415" s="265">
        <f t="shared" ref="U415:U450" si="127">T415-S415</f>
        <v>58999.97</v>
      </c>
      <c r="V415" s="262">
        <f>S415/T415</f>
        <v>0.50000025423728811</v>
      </c>
      <c r="W415" s="263"/>
    </row>
    <row r="416" spans="1:23" x14ac:dyDescent="0.25">
      <c r="A416" t="s">
        <v>55</v>
      </c>
      <c r="B416" t="s">
        <v>405</v>
      </c>
      <c r="C416" t="s">
        <v>404</v>
      </c>
      <c r="D416" s="283">
        <v>0</v>
      </c>
      <c r="E416" s="283">
        <v>0</v>
      </c>
      <c r="G416" s="274">
        <v>0</v>
      </c>
      <c r="H416" s="274">
        <v>0</v>
      </c>
      <c r="I416" s="274">
        <v>0</v>
      </c>
      <c r="J416" s="274">
        <v>0</v>
      </c>
      <c r="K416" s="274">
        <v>0</v>
      </c>
      <c r="L416" s="274">
        <v>0</v>
      </c>
      <c r="M416" s="274">
        <v>0</v>
      </c>
      <c r="N416" s="274">
        <v>0</v>
      </c>
      <c r="O416" s="274">
        <v>0</v>
      </c>
      <c r="P416" s="274">
        <v>0</v>
      </c>
      <c r="Q416" s="274">
        <v>0</v>
      </c>
      <c r="R416" s="274">
        <v>0</v>
      </c>
      <c r="S416" s="274">
        <f t="shared" si="126"/>
        <v>0</v>
      </c>
      <c r="T416" s="265">
        <v>0</v>
      </c>
      <c r="U416" s="265">
        <f t="shared" si="127"/>
        <v>0</v>
      </c>
      <c r="V416" s="262">
        <v>0</v>
      </c>
      <c r="W416" s="263"/>
    </row>
    <row r="417" spans="1:23" x14ac:dyDescent="0.25">
      <c r="A417" t="s">
        <v>55</v>
      </c>
      <c r="B417" t="s">
        <v>403</v>
      </c>
      <c r="C417" t="s">
        <v>402</v>
      </c>
      <c r="D417" s="283">
        <v>4538.28</v>
      </c>
      <c r="E417" s="283">
        <v>0</v>
      </c>
      <c r="G417" s="274">
        <v>0</v>
      </c>
      <c r="H417" s="274">
        <v>0</v>
      </c>
      <c r="I417" s="274">
        <v>0</v>
      </c>
      <c r="J417" s="274">
        <v>0</v>
      </c>
      <c r="K417" s="274">
        <v>0</v>
      </c>
      <c r="L417" s="274">
        <v>0</v>
      </c>
      <c r="M417" s="274">
        <v>0</v>
      </c>
      <c r="N417" s="274">
        <v>0</v>
      </c>
      <c r="O417" s="274">
        <v>0</v>
      </c>
      <c r="P417" s="274">
        <v>0</v>
      </c>
      <c r="Q417" s="274">
        <v>0</v>
      </c>
      <c r="R417" s="274">
        <v>0</v>
      </c>
      <c r="S417" s="274">
        <f t="shared" si="126"/>
        <v>0</v>
      </c>
      <c r="T417" s="265">
        <v>0</v>
      </c>
      <c r="U417" s="265">
        <f t="shared" si="127"/>
        <v>0</v>
      </c>
      <c r="V417" s="262">
        <v>0</v>
      </c>
      <c r="W417" s="263"/>
    </row>
    <row r="418" spans="1:23" x14ac:dyDescent="0.25">
      <c r="A418" t="s">
        <v>55</v>
      </c>
      <c r="B418" t="s">
        <v>401</v>
      </c>
      <c r="C418" t="s">
        <v>400</v>
      </c>
      <c r="D418" s="283">
        <v>2500.39</v>
      </c>
      <c r="E418" s="283">
        <v>0</v>
      </c>
      <c r="G418" s="265">
        <v>0</v>
      </c>
      <c r="H418" s="265">
        <v>0</v>
      </c>
      <c r="I418" s="265">
        <v>0</v>
      </c>
      <c r="J418" s="265">
        <v>0</v>
      </c>
      <c r="K418" s="265">
        <v>0</v>
      </c>
      <c r="L418" s="265">
        <v>0</v>
      </c>
      <c r="M418" s="265">
        <v>0</v>
      </c>
      <c r="N418" s="265">
        <v>0</v>
      </c>
      <c r="O418" s="265">
        <v>0</v>
      </c>
      <c r="P418" s="265">
        <v>0</v>
      </c>
      <c r="Q418" s="265">
        <v>0</v>
      </c>
      <c r="R418" s="265">
        <v>0</v>
      </c>
      <c r="S418" s="265">
        <f t="shared" si="126"/>
        <v>0</v>
      </c>
      <c r="T418" s="265">
        <v>0</v>
      </c>
      <c r="U418" s="265">
        <f t="shared" si="127"/>
        <v>0</v>
      </c>
      <c r="V418" s="262">
        <v>0</v>
      </c>
      <c r="W418" s="263"/>
    </row>
    <row r="419" spans="1:23" x14ac:dyDescent="0.25">
      <c r="A419" t="s">
        <v>55</v>
      </c>
      <c r="B419" t="s">
        <v>399</v>
      </c>
      <c r="C419" t="s">
        <v>398</v>
      </c>
      <c r="D419" s="283">
        <v>103772.35</v>
      </c>
      <c r="E419" s="283">
        <v>107493</v>
      </c>
      <c r="G419" s="265">
        <v>9576.08</v>
      </c>
      <c r="H419" s="265">
        <v>9576.08</v>
      </c>
      <c r="I419" s="265">
        <v>9576.08</v>
      </c>
      <c r="J419" s="265">
        <v>9576.08</v>
      </c>
      <c r="K419" s="265">
        <v>9576.08</v>
      </c>
      <c r="L419" s="265">
        <v>9576.08</v>
      </c>
      <c r="M419" s="265">
        <v>0</v>
      </c>
      <c r="N419" s="265">
        <v>0</v>
      </c>
      <c r="O419" s="265">
        <v>0</v>
      </c>
      <c r="P419" s="265">
        <v>0</v>
      </c>
      <c r="Q419" s="265">
        <v>0</v>
      </c>
      <c r="R419" s="265">
        <v>0</v>
      </c>
      <c r="S419" s="265">
        <f t="shared" si="126"/>
        <v>57456.480000000003</v>
      </c>
      <c r="T419" s="265">
        <v>114913.32</v>
      </c>
      <c r="U419" s="265">
        <f t="shared" si="127"/>
        <v>57456.840000000004</v>
      </c>
      <c r="V419" s="262">
        <f>S419/T419</f>
        <v>0.49999843360195317</v>
      </c>
      <c r="W419" s="263"/>
    </row>
    <row r="420" spans="1:23" x14ac:dyDescent="0.25">
      <c r="A420" t="s">
        <v>55</v>
      </c>
      <c r="B420" t="s">
        <v>397</v>
      </c>
      <c r="C420" t="s">
        <v>396</v>
      </c>
      <c r="D420" s="283">
        <v>826.84</v>
      </c>
      <c r="E420" s="283">
        <v>0</v>
      </c>
      <c r="G420" s="265">
        <v>0</v>
      </c>
      <c r="H420" s="265">
        <v>0</v>
      </c>
      <c r="I420" s="265">
        <v>0</v>
      </c>
      <c r="J420" s="265">
        <v>0</v>
      </c>
      <c r="K420" s="265">
        <v>0</v>
      </c>
      <c r="L420" s="265">
        <v>0</v>
      </c>
      <c r="M420" s="265">
        <v>0</v>
      </c>
      <c r="N420" s="265">
        <v>0</v>
      </c>
      <c r="O420" s="265">
        <v>0</v>
      </c>
      <c r="P420" s="265">
        <v>0</v>
      </c>
      <c r="Q420" s="265">
        <v>0</v>
      </c>
      <c r="R420" s="265">
        <v>0</v>
      </c>
      <c r="S420" s="265">
        <f t="shared" si="126"/>
        <v>0</v>
      </c>
      <c r="T420" s="265">
        <v>0</v>
      </c>
      <c r="U420" s="265">
        <f t="shared" si="127"/>
        <v>0</v>
      </c>
      <c r="V420" s="262">
        <v>0</v>
      </c>
      <c r="W420" s="263"/>
    </row>
    <row r="421" spans="1:23" x14ac:dyDescent="0.25">
      <c r="A421" t="s">
        <v>55</v>
      </c>
      <c r="B421" t="s">
        <v>395</v>
      </c>
      <c r="C421" t="s">
        <v>394</v>
      </c>
      <c r="D421" s="283">
        <v>2067.1</v>
      </c>
      <c r="E421" s="283">
        <v>0</v>
      </c>
      <c r="G421" s="265">
        <v>0</v>
      </c>
      <c r="H421" s="265">
        <v>0</v>
      </c>
      <c r="I421" s="265">
        <v>0</v>
      </c>
      <c r="J421" s="265">
        <v>0</v>
      </c>
      <c r="K421" s="265">
        <v>0</v>
      </c>
      <c r="L421" s="265">
        <v>0</v>
      </c>
      <c r="M421" s="265">
        <v>0</v>
      </c>
      <c r="N421" s="265">
        <v>0</v>
      </c>
      <c r="O421" s="265">
        <v>0</v>
      </c>
      <c r="P421" s="265">
        <v>0</v>
      </c>
      <c r="Q421" s="265">
        <v>0</v>
      </c>
      <c r="R421" s="265">
        <v>0</v>
      </c>
      <c r="S421" s="265">
        <f t="shared" si="126"/>
        <v>0</v>
      </c>
      <c r="T421" s="265">
        <v>0</v>
      </c>
      <c r="U421" s="265">
        <f t="shared" si="127"/>
        <v>0</v>
      </c>
      <c r="V421" s="262">
        <v>0</v>
      </c>
      <c r="W421" s="263"/>
    </row>
    <row r="422" spans="1:23" x14ac:dyDescent="0.25">
      <c r="A422" t="s">
        <v>55</v>
      </c>
      <c r="B422" t="s">
        <v>393</v>
      </c>
      <c r="C422" t="s">
        <v>392</v>
      </c>
      <c r="D422" s="283">
        <v>826.84</v>
      </c>
      <c r="E422" s="283">
        <v>0</v>
      </c>
      <c r="G422" s="265">
        <v>0</v>
      </c>
      <c r="H422" s="265">
        <v>0</v>
      </c>
      <c r="I422" s="265">
        <v>0</v>
      </c>
      <c r="J422" s="265">
        <v>0</v>
      </c>
      <c r="K422" s="265">
        <v>0</v>
      </c>
      <c r="L422" s="265">
        <v>0</v>
      </c>
      <c r="M422" s="265">
        <v>0</v>
      </c>
      <c r="N422" s="265">
        <v>0</v>
      </c>
      <c r="O422" s="265">
        <v>0</v>
      </c>
      <c r="P422" s="265">
        <v>0</v>
      </c>
      <c r="Q422" s="265">
        <v>0</v>
      </c>
      <c r="R422" s="265">
        <v>0</v>
      </c>
      <c r="S422" s="265">
        <f t="shared" si="126"/>
        <v>0</v>
      </c>
      <c r="T422" s="265">
        <v>0</v>
      </c>
      <c r="U422" s="265">
        <f t="shared" si="127"/>
        <v>0</v>
      </c>
      <c r="V422" s="262">
        <v>0</v>
      </c>
      <c r="W422" s="263"/>
    </row>
    <row r="423" spans="1:23" x14ac:dyDescent="0.25">
      <c r="A423" t="s">
        <v>55</v>
      </c>
      <c r="B423" t="s">
        <v>391</v>
      </c>
      <c r="C423" t="s">
        <v>390</v>
      </c>
      <c r="D423" s="283">
        <v>134960.63</v>
      </c>
      <c r="E423" s="283">
        <v>198640</v>
      </c>
      <c r="G423" s="265">
        <v>17587</v>
      </c>
      <c r="H423" s="265">
        <v>17587</v>
      </c>
      <c r="I423" s="265">
        <v>17587</v>
      </c>
      <c r="J423" s="265">
        <v>17587</v>
      </c>
      <c r="K423" s="265">
        <v>15963.65</v>
      </c>
      <c r="L423" s="265">
        <v>17587</v>
      </c>
      <c r="M423" s="265">
        <v>0</v>
      </c>
      <c r="N423" s="265">
        <v>0</v>
      </c>
      <c r="O423" s="265">
        <v>0</v>
      </c>
      <c r="P423" s="265">
        <v>0</v>
      </c>
      <c r="Q423" s="265">
        <v>0</v>
      </c>
      <c r="R423" s="265">
        <v>0</v>
      </c>
      <c r="S423" s="265">
        <f t="shared" si="126"/>
        <v>103898.65</v>
      </c>
      <c r="T423" s="265">
        <v>211043.74</v>
      </c>
      <c r="U423" s="265">
        <f t="shared" si="127"/>
        <v>107145.09</v>
      </c>
      <c r="V423" s="262">
        <f>S423/T423</f>
        <v>0.49230860863250431</v>
      </c>
      <c r="W423" s="263"/>
    </row>
    <row r="424" spans="1:23" x14ac:dyDescent="0.25">
      <c r="A424" t="s">
        <v>55</v>
      </c>
      <c r="B424" t="s">
        <v>389</v>
      </c>
      <c r="C424" t="s">
        <v>388</v>
      </c>
      <c r="D424" s="283">
        <v>1898.16</v>
      </c>
      <c r="E424" s="283">
        <v>0</v>
      </c>
      <c r="G424" s="265">
        <v>0</v>
      </c>
      <c r="H424" s="265">
        <v>0</v>
      </c>
      <c r="I424" s="265">
        <v>0</v>
      </c>
      <c r="J424" s="265">
        <v>0</v>
      </c>
      <c r="K424" s="265">
        <v>1623.35</v>
      </c>
      <c r="L424" s="265">
        <v>0</v>
      </c>
      <c r="M424" s="265">
        <v>0</v>
      </c>
      <c r="N424" s="265">
        <v>0</v>
      </c>
      <c r="O424" s="265">
        <v>0</v>
      </c>
      <c r="P424" s="265">
        <v>0</v>
      </c>
      <c r="Q424" s="265">
        <v>0</v>
      </c>
      <c r="R424" s="265">
        <v>0</v>
      </c>
      <c r="S424" s="265">
        <f t="shared" si="126"/>
        <v>1623.35</v>
      </c>
      <c r="T424" s="265">
        <v>0</v>
      </c>
      <c r="U424" s="265">
        <f t="shared" si="127"/>
        <v>-1623.35</v>
      </c>
      <c r="V424" s="262">
        <v>0</v>
      </c>
      <c r="W424" s="263"/>
    </row>
    <row r="425" spans="1:23" x14ac:dyDescent="0.25">
      <c r="A425" t="s">
        <v>55</v>
      </c>
      <c r="B425" t="s">
        <v>387</v>
      </c>
      <c r="C425" t="s">
        <v>386</v>
      </c>
      <c r="D425" s="283">
        <v>452873.15</v>
      </c>
      <c r="E425" s="283">
        <v>463402</v>
      </c>
      <c r="G425" s="265">
        <v>40722.060000000005</v>
      </c>
      <c r="H425" s="265">
        <v>38616.76</v>
      </c>
      <c r="I425" s="265">
        <v>38779.79</v>
      </c>
      <c r="J425" s="265">
        <f>19308.4+20310.92</f>
        <v>39619.32</v>
      </c>
      <c r="K425" s="265">
        <v>33217.919999999969</v>
      </c>
      <c r="L425" s="265">
        <v>37072.04</v>
      </c>
      <c r="M425" s="265">
        <v>0</v>
      </c>
      <c r="N425" s="265">
        <v>0</v>
      </c>
      <c r="O425" s="265">
        <v>0</v>
      </c>
      <c r="P425" s="265">
        <v>0</v>
      </c>
      <c r="Q425" s="265">
        <v>0</v>
      </c>
      <c r="R425" s="265">
        <v>0</v>
      </c>
      <c r="S425" s="265">
        <f t="shared" si="126"/>
        <v>228027.88999999998</v>
      </c>
      <c r="T425" s="265">
        <v>484489.76</v>
      </c>
      <c r="U425" s="265">
        <f t="shared" si="127"/>
        <v>256461.87000000002</v>
      </c>
      <c r="V425" s="262">
        <f>S425/T425</f>
        <v>0.47065574719267539</v>
      </c>
      <c r="W425" s="263"/>
    </row>
    <row r="426" spans="1:23" x14ac:dyDescent="0.25">
      <c r="A426" t="s">
        <v>55</v>
      </c>
      <c r="B426" t="s">
        <v>385</v>
      </c>
      <c r="C426" t="s">
        <v>384</v>
      </c>
      <c r="D426" s="283">
        <v>2495.13</v>
      </c>
      <c r="E426" s="283">
        <v>0</v>
      </c>
      <c r="G426" s="265">
        <v>0</v>
      </c>
      <c r="H426" s="265">
        <v>0</v>
      </c>
      <c r="I426" s="265">
        <v>0</v>
      </c>
      <c r="J426" s="265">
        <v>0</v>
      </c>
      <c r="K426" s="265">
        <v>0</v>
      </c>
      <c r="L426" s="265">
        <v>534.66999999999996</v>
      </c>
      <c r="M426" s="265">
        <v>0</v>
      </c>
      <c r="N426" s="265">
        <v>0</v>
      </c>
      <c r="O426" s="265">
        <v>0</v>
      </c>
      <c r="P426" s="265">
        <v>0</v>
      </c>
      <c r="Q426" s="265">
        <v>0</v>
      </c>
      <c r="R426" s="265">
        <v>0</v>
      </c>
      <c r="S426" s="265">
        <f t="shared" si="126"/>
        <v>534.66999999999996</v>
      </c>
      <c r="T426" s="265">
        <v>0</v>
      </c>
      <c r="U426" s="265">
        <f t="shared" si="127"/>
        <v>-534.66999999999996</v>
      </c>
      <c r="V426" s="262">
        <v>0</v>
      </c>
      <c r="W426" s="263"/>
    </row>
    <row r="427" spans="1:23" x14ac:dyDescent="0.25">
      <c r="A427" t="s">
        <v>55</v>
      </c>
      <c r="B427" t="s">
        <v>383</v>
      </c>
      <c r="C427" t="s">
        <v>382</v>
      </c>
      <c r="D427" s="283">
        <v>19426.490000000002</v>
      </c>
      <c r="E427" s="283">
        <v>0</v>
      </c>
      <c r="G427" s="265">
        <v>0</v>
      </c>
      <c r="H427" s="265">
        <v>0</v>
      </c>
      <c r="I427" s="265">
        <v>0</v>
      </c>
      <c r="J427" s="265">
        <v>0</v>
      </c>
      <c r="K427" s="265">
        <v>4099.16</v>
      </c>
      <c r="L427" s="265">
        <v>0</v>
      </c>
      <c r="M427" s="265">
        <v>0</v>
      </c>
      <c r="N427" s="265">
        <v>0</v>
      </c>
      <c r="O427" s="265">
        <v>0</v>
      </c>
      <c r="P427" s="265">
        <v>0</v>
      </c>
      <c r="Q427" s="265">
        <v>0</v>
      </c>
      <c r="R427" s="265">
        <v>0</v>
      </c>
      <c r="S427" s="265">
        <f t="shared" si="126"/>
        <v>4099.16</v>
      </c>
      <c r="T427" s="265">
        <v>0</v>
      </c>
      <c r="U427" s="265">
        <f t="shared" si="127"/>
        <v>-4099.16</v>
      </c>
      <c r="V427" s="262">
        <v>0</v>
      </c>
      <c r="W427" s="263"/>
    </row>
    <row r="428" spans="1:23" x14ac:dyDescent="0.25">
      <c r="A428" t="s">
        <v>55</v>
      </c>
      <c r="B428" t="s">
        <v>381</v>
      </c>
      <c r="C428" t="s">
        <v>380</v>
      </c>
      <c r="D428" s="283">
        <v>8020.11</v>
      </c>
      <c r="E428" s="283">
        <v>0</v>
      </c>
      <c r="G428" s="265">
        <v>0</v>
      </c>
      <c r="H428" s="265">
        <v>0</v>
      </c>
      <c r="I428" s="265">
        <v>0</v>
      </c>
      <c r="J428" s="265">
        <v>0</v>
      </c>
      <c r="K428" s="265">
        <v>356.45</v>
      </c>
      <c r="L428" s="265">
        <v>1069.3499999999999</v>
      </c>
      <c r="M428" s="265">
        <v>0</v>
      </c>
      <c r="N428" s="265">
        <v>0</v>
      </c>
      <c r="O428" s="265">
        <v>0</v>
      </c>
      <c r="P428" s="265">
        <v>0</v>
      </c>
      <c r="Q428" s="265">
        <v>0</v>
      </c>
      <c r="R428" s="265">
        <v>0</v>
      </c>
      <c r="S428" s="265">
        <f t="shared" si="126"/>
        <v>1425.8</v>
      </c>
      <c r="T428" s="265">
        <v>0</v>
      </c>
      <c r="U428" s="265">
        <f t="shared" si="127"/>
        <v>-1425.8</v>
      </c>
      <c r="V428" s="262">
        <v>0</v>
      </c>
      <c r="W428" s="263"/>
    </row>
    <row r="429" spans="1:23" x14ac:dyDescent="0.25">
      <c r="A429" t="s">
        <v>55</v>
      </c>
      <c r="B429" t="s">
        <v>379</v>
      </c>
      <c r="C429" t="s">
        <v>378</v>
      </c>
      <c r="D429" s="283">
        <v>87780.95</v>
      </c>
      <c r="E429" s="283">
        <v>83200</v>
      </c>
      <c r="G429" s="265">
        <v>7993.07</v>
      </c>
      <c r="H429" s="265">
        <v>8035.42</v>
      </c>
      <c r="I429" s="265">
        <v>7985.42</v>
      </c>
      <c r="J429" s="265">
        <f>5756.08+4017.71</f>
        <v>9773.7900000000009</v>
      </c>
      <c r="K429" s="265">
        <v>5555.3500000000049</v>
      </c>
      <c r="L429" s="265">
        <v>5439.46</v>
      </c>
      <c r="M429" s="265">
        <v>0</v>
      </c>
      <c r="N429" s="265">
        <v>0</v>
      </c>
      <c r="O429" s="265">
        <v>0</v>
      </c>
      <c r="P429" s="265">
        <v>0</v>
      </c>
      <c r="Q429" s="265">
        <v>0</v>
      </c>
      <c r="R429" s="265">
        <v>0</v>
      </c>
      <c r="S429" s="265">
        <f t="shared" si="126"/>
        <v>44782.51</v>
      </c>
      <c r="T429" s="265">
        <v>96425</v>
      </c>
      <c r="U429" s="265">
        <f t="shared" si="127"/>
        <v>51642.49</v>
      </c>
      <c r="V429" s="262">
        <f>S429/T429</f>
        <v>0.46442841586725436</v>
      </c>
      <c r="W429" s="263"/>
    </row>
    <row r="430" spans="1:23" x14ac:dyDescent="0.25">
      <c r="A430" t="s">
        <v>55</v>
      </c>
      <c r="B430" t="s">
        <v>377</v>
      </c>
      <c r="C430" t="s">
        <v>376</v>
      </c>
      <c r="D430" s="283">
        <v>1599.94</v>
      </c>
      <c r="E430" s="283">
        <v>0</v>
      </c>
      <c r="G430" s="265">
        <v>0</v>
      </c>
      <c r="H430" s="265">
        <v>0</v>
      </c>
      <c r="I430" s="265">
        <v>0</v>
      </c>
      <c r="J430" s="265">
        <v>0</v>
      </c>
      <c r="K430" s="265">
        <v>0</v>
      </c>
      <c r="L430" s="265">
        <v>1854.26</v>
      </c>
      <c r="M430" s="265">
        <v>0</v>
      </c>
      <c r="N430" s="265">
        <v>0</v>
      </c>
      <c r="O430" s="265">
        <v>0</v>
      </c>
      <c r="P430" s="265">
        <v>0</v>
      </c>
      <c r="Q430" s="265">
        <v>0</v>
      </c>
      <c r="R430" s="265">
        <v>0</v>
      </c>
      <c r="S430" s="265">
        <f t="shared" si="126"/>
        <v>1854.26</v>
      </c>
      <c r="T430" s="265">
        <v>0</v>
      </c>
      <c r="U430" s="265">
        <f t="shared" si="127"/>
        <v>-1854.26</v>
      </c>
      <c r="V430" s="262">
        <v>0</v>
      </c>
      <c r="W430" s="263"/>
    </row>
    <row r="431" spans="1:23" x14ac:dyDescent="0.25">
      <c r="B431" t="s">
        <v>948</v>
      </c>
      <c r="C431" t="s">
        <v>949</v>
      </c>
      <c r="D431" s="283">
        <v>0</v>
      </c>
      <c r="E431" s="283">
        <v>0</v>
      </c>
      <c r="G431" s="265">
        <v>0</v>
      </c>
      <c r="H431" s="265">
        <v>0</v>
      </c>
      <c r="I431" s="265">
        <v>0</v>
      </c>
      <c r="J431" s="265">
        <v>741.7</v>
      </c>
      <c r="K431" s="265">
        <v>0</v>
      </c>
      <c r="L431" s="265">
        <v>741.7</v>
      </c>
      <c r="M431" s="265"/>
      <c r="N431" s="265"/>
      <c r="O431" s="265"/>
      <c r="P431" s="265"/>
      <c r="Q431" s="265"/>
      <c r="R431" s="265"/>
      <c r="S431" s="265">
        <f t="shared" ref="S431" si="128">SUM(G431:R431)</f>
        <v>1483.4</v>
      </c>
      <c r="T431" s="265">
        <v>0</v>
      </c>
      <c r="U431" s="265">
        <f t="shared" si="127"/>
        <v>-1483.4</v>
      </c>
      <c r="V431" s="262">
        <v>0</v>
      </c>
      <c r="W431" s="263"/>
    </row>
    <row r="432" spans="1:23" x14ac:dyDescent="0.25">
      <c r="A432" t="s">
        <v>55</v>
      </c>
      <c r="B432" t="s">
        <v>375</v>
      </c>
      <c r="C432" t="s">
        <v>374</v>
      </c>
      <c r="D432" s="283">
        <v>1667047.35</v>
      </c>
      <c r="E432" s="283">
        <v>1635239.38</v>
      </c>
      <c r="G432" s="265">
        <v>135517.20000000001</v>
      </c>
      <c r="H432" s="265">
        <v>132665.44</v>
      </c>
      <c r="I432" s="265">
        <v>145958.85999999999</v>
      </c>
      <c r="J432" s="265">
        <f>85576.32+75241.37</f>
        <v>160817.69</v>
      </c>
      <c r="K432" s="265">
        <v>109380.03000000016</v>
      </c>
      <c r="L432" s="265">
        <v>127567.83</v>
      </c>
      <c r="M432" s="265">
        <v>0</v>
      </c>
      <c r="N432" s="265">
        <v>0</v>
      </c>
      <c r="O432" s="265">
        <v>0</v>
      </c>
      <c r="P432" s="265">
        <v>0</v>
      </c>
      <c r="Q432" s="265">
        <v>0</v>
      </c>
      <c r="R432" s="265">
        <v>0</v>
      </c>
      <c r="S432" s="265">
        <f t="shared" si="126"/>
        <v>811907.05</v>
      </c>
      <c r="T432" s="265">
        <v>1797048.64</v>
      </c>
      <c r="U432" s="265">
        <f t="shared" si="127"/>
        <v>985141.58999999985</v>
      </c>
      <c r="V432" s="262">
        <f>S432/T432</f>
        <v>0.4518002640151132</v>
      </c>
      <c r="W432" s="263"/>
    </row>
    <row r="433" spans="1:23" x14ac:dyDescent="0.25">
      <c r="A433" t="s">
        <v>55</v>
      </c>
      <c r="B433" t="s">
        <v>373</v>
      </c>
      <c r="C433" t="s">
        <v>372</v>
      </c>
      <c r="D433" s="283">
        <v>13782.43</v>
      </c>
      <c r="E433" s="283">
        <v>0</v>
      </c>
      <c r="G433" s="265">
        <v>0</v>
      </c>
      <c r="H433" s="265">
        <v>0</v>
      </c>
      <c r="I433" s="265">
        <v>0</v>
      </c>
      <c r="J433" s="265">
        <v>0</v>
      </c>
      <c r="K433" s="265">
        <v>990.12</v>
      </c>
      <c r="L433" s="265">
        <v>1860.07</v>
      </c>
      <c r="M433" s="265">
        <v>0</v>
      </c>
      <c r="N433" s="265">
        <v>0</v>
      </c>
      <c r="O433" s="265">
        <v>0</v>
      </c>
      <c r="P433" s="265">
        <v>0</v>
      </c>
      <c r="Q433" s="265">
        <v>0</v>
      </c>
      <c r="R433" s="265">
        <v>0</v>
      </c>
      <c r="S433" s="265">
        <f t="shared" si="126"/>
        <v>2850.19</v>
      </c>
      <c r="T433" s="265">
        <v>0</v>
      </c>
      <c r="U433" s="265">
        <f t="shared" si="127"/>
        <v>-2850.19</v>
      </c>
      <c r="V433" s="262">
        <v>0</v>
      </c>
      <c r="W433" s="263"/>
    </row>
    <row r="434" spans="1:23" x14ac:dyDescent="0.25">
      <c r="A434" t="s">
        <v>55</v>
      </c>
      <c r="B434" t="s">
        <v>371</v>
      </c>
      <c r="C434" t="s">
        <v>370</v>
      </c>
      <c r="D434" s="283">
        <v>51370.83</v>
      </c>
      <c r="E434" s="283">
        <v>0</v>
      </c>
      <c r="G434" s="265">
        <v>0</v>
      </c>
      <c r="H434" s="265">
        <v>0</v>
      </c>
      <c r="I434" s="265">
        <v>0</v>
      </c>
      <c r="J434" s="265">
        <v>0</v>
      </c>
      <c r="K434" s="265">
        <v>9765.36</v>
      </c>
      <c r="L434" s="265">
        <v>10896.33</v>
      </c>
      <c r="M434" s="265">
        <v>0</v>
      </c>
      <c r="N434" s="265">
        <v>0</v>
      </c>
      <c r="O434" s="265">
        <v>0</v>
      </c>
      <c r="P434" s="265">
        <v>0</v>
      </c>
      <c r="Q434" s="265">
        <v>0</v>
      </c>
      <c r="R434" s="265">
        <v>0</v>
      </c>
      <c r="S434" s="265">
        <f t="shared" si="126"/>
        <v>20661.690000000002</v>
      </c>
      <c r="T434" s="265">
        <v>0</v>
      </c>
      <c r="U434" s="265">
        <f t="shared" si="127"/>
        <v>-20661.690000000002</v>
      </c>
      <c r="V434" s="262">
        <v>0</v>
      </c>
      <c r="W434" s="263"/>
    </row>
    <row r="435" spans="1:23" x14ac:dyDescent="0.25">
      <c r="A435" t="s">
        <v>55</v>
      </c>
      <c r="B435" t="s">
        <v>369</v>
      </c>
      <c r="C435" t="s">
        <v>368</v>
      </c>
      <c r="D435" s="283">
        <v>10369.27</v>
      </c>
      <c r="E435" s="283">
        <v>0</v>
      </c>
      <c r="G435" s="265">
        <v>0</v>
      </c>
      <c r="H435" s="265">
        <v>0</v>
      </c>
      <c r="I435" s="265">
        <v>0</v>
      </c>
      <c r="J435" s="265">
        <v>0</v>
      </c>
      <c r="K435" s="265">
        <v>2029.07</v>
      </c>
      <c r="L435" s="265">
        <v>1695.73</v>
      </c>
      <c r="M435" s="265">
        <v>0</v>
      </c>
      <c r="N435" s="265">
        <v>0</v>
      </c>
      <c r="O435" s="265">
        <v>0</v>
      </c>
      <c r="P435" s="265">
        <v>0</v>
      </c>
      <c r="Q435" s="265">
        <v>0</v>
      </c>
      <c r="R435" s="265">
        <v>0</v>
      </c>
      <c r="S435" s="265">
        <f t="shared" si="126"/>
        <v>3724.8</v>
      </c>
      <c r="T435" s="265">
        <v>0</v>
      </c>
      <c r="U435" s="265">
        <f t="shared" si="127"/>
        <v>-3724.8</v>
      </c>
      <c r="V435" s="262">
        <v>0</v>
      </c>
      <c r="W435" s="263"/>
    </row>
    <row r="436" spans="1:23" x14ac:dyDescent="0.25">
      <c r="A436" t="s">
        <v>55</v>
      </c>
      <c r="B436" t="s">
        <v>367</v>
      </c>
      <c r="C436" t="s">
        <v>366</v>
      </c>
      <c r="D436" s="283">
        <v>22731.35</v>
      </c>
      <c r="E436" s="283">
        <v>0</v>
      </c>
      <c r="G436" s="265">
        <v>0</v>
      </c>
      <c r="H436" s="265">
        <v>0</v>
      </c>
      <c r="I436" s="265">
        <v>0</v>
      </c>
      <c r="J436" s="265">
        <v>0</v>
      </c>
      <c r="K436" s="265">
        <v>0</v>
      </c>
      <c r="L436" s="265">
        <v>0</v>
      </c>
      <c r="M436" s="265">
        <v>0</v>
      </c>
      <c r="N436" s="265">
        <v>0</v>
      </c>
      <c r="O436" s="265">
        <v>0</v>
      </c>
      <c r="P436" s="265">
        <v>0</v>
      </c>
      <c r="Q436" s="265">
        <v>0</v>
      </c>
      <c r="R436" s="265">
        <v>0</v>
      </c>
      <c r="S436" s="265">
        <f t="shared" si="126"/>
        <v>0</v>
      </c>
      <c r="T436" s="265">
        <v>0</v>
      </c>
      <c r="U436" s="265">
        <f t="shared" si="127"/>
        <v>0</v>
      </c>
      <c r="V436" s="262">
        <v>0</v>
      </c>
      <c r="W436" s="263"/>
    </row>
    <row r="437" spans="1:23" x14ac:dyDescent="0.25">
      <c r="A437" t="s">
        <v>55</v>
      </c>
      <c r="B437" t="s">
        <v>365</v>
      </c>
      <c r="C437" t="s">
        <v>364</v>
      </c>
      <c r="D437" s="283">
        <v>289138.59000000003</v>
      </c>
      <c r="E437" s="283">
        <v>296345</v>
      </c>
      <c r="G437" s="265">
        <v>24695.399999999994</v>
      </c>
      <c r="H437" s="265">
        <v>47387.58</v>
      </c>
      <c r="I437" s="265">
        <v>26142.7</v>
      </c>
      <c r="J437" s="265">
        <f>16215.89+13071.35</f>
        <v>29287.239999999998</v>
      </c>
      <c r="K437" s="265">
        <v>17689.370000000021</v>
      </c>
      <c r="L437" s="265">
        <v>23005.69</v>
      </c>
      <c r="M437" s="265">
        <v>0</v>
      </c>
      <c r="N437" s="265">
        <v>0</v>
      </c>
      <c r="O437" s="265">
        <v>0</v>
      </c>
      <c r="P437" s="265">
        <v>0</v>
      </c>
      <c r="Q437" s="265">
        <v>0</v>
      </c>
      <c r="R437" s="265">
        <v>0</v>
      </c>
      <c r="S437" s="265">
        <f t="shared" si="126"/>
        <v>168207.98</v>
      </c>
      <c r="T437" s="265">
        <v>316801.25</v>
      </c>
      <c r="U437" s="265">
        <f t="shared" si="127"/>
        <v>148593.26999999999</v>
      </c>
      <c r="V437" s="262">
        <f>S437/T437</f>
        <v>0.53095743782576621</v>
      </c>
      <c r="W437" s="263"/>
    </row>
    <row r="438" spans="1:23" x14ac:dyDescent="0.25">
      <c r="A438" t="s">
        <v>55</v>
      </c>
      <c r="B438" t="s">
        <v>363</v>
      </c>
      <c r="C438" t="s">
        <v>362</v>
      </c>
      <c r="D438" s="283">
        <v>2592.9299999999998</v>
      </c>
      <c r="E438" s="283">
        <v>0</v>
      </c>
      <c r="G438" s="265">
        <v>0</v>
      </c>
      <c r="H438" s="265">
        <v>0</v>
      </c>
      <c r="I438" s="265">
        <v>0</v>
      </c>
      <c r="J438" s="265">
        <v>0</v>
      </c>
      <c r="K438" s="265">
        <v>482.62</v>
      </c>
      <c r="L438" s="265">
        <v>0</v>
      </c>
      <c r="M438" s="265">
        <v>0</v>
      </c>
      <c r="N438" s="265">
        <v>0</v>
      </c>
      <c r="O438" s="265">
        <v>0</v>
      </c>
      <c r="P438" s="265">
        <v>0</v>
      </c>
      <c r="Q438" s="265">
        <v>0</v>
      </c>
      <c r="R438" s="265">
        <v>0</v>
      </c>
      <c r="S438" s="265">
        <f t="shared" si="126"/>
        <v>482.62</v>
      </c>
      <c r="T438" s="265">
        <v>0</v>
      </c>
      <c r="U438" s="265">
        <f t="shared" si="127"/>
        <v>-482.62</v>
      </c>
      <c r="V438" s="262">
        <v>0</v>
      </c>
      <c r="W438" s="263"/>
    </row>
    <row r="439" spans="1:23" x14ac:dyDescent="0.25">
      <c r="A439" t="s">
        <v>55</v>
      </c>
      <c r="B439" t="s">
        <v>361</v>
      </c>
      <c r="C439" t="s">
        <v>360</v>
      </c>
      <c r="D439" s="283">
        <v>10257.68</v>
      </c>
      <c r="E439" s="283">
        <v>0</v>
      </c>
      <c r="G439" s="265">
        <v>0</v>
      </c>
      <c r="H439" s="265">
        <v>0</v>
      </c>
      <c r="I439" s="265">
        <v>0</v>
      </c>
      <c r="J439" s="265">
        <v>0</v>
      </c>
      <c r="K439" s="265">
        <v>4102.24</v>
      </c>
      <c r="L439" s="265">
        <v>2413.08</v>
      </c>
      <c r="M439" s="265">
        <v>0</v>
      </c>
      <c r="N439" s="265">
        <v>0</v>
      </c>
      <c r="O439" s="265">
        <v>0</v>
      </c>
      <c r="P439" s="265">
        <v>0</v>
      </c>
      <c r="Q439" s="265">
        <v>0</v>
      </c>
      <c r="R439" s="265">
        <v>0</v>
      </c>
      <c r="S439" s="265">
        <f t="shared" si="126"/>
        <v>6515.32</v>
      </c>
      <c r="T439" s="265">
        <v>0</v>
      </c>
      <c r="U439" s="265">
        <f t="shared" si="127"/>
        <v>-6515.32</v>
      </c>
      <c r="V439" s="262">
        <v>0</v>
      </c>
      <c r="W439" s="263"/>
    </row>
    <row r="440" spans="1:23" x14ac:dyDescent="0.25">
      <c r="A440" t="s">
        <v>55</v>
      </c>
      <c r="B440" t="s">
        <v>359</v>
      </c>
      <c r="C440" t="s">
        <v>358</v>
      </c>
      <c r="D440" s="283">
        <v>1139.75</v>
      </c>
      <c r="E440" s="283">
        <v>0</v>
      </c>
      <c r="G440" s="265">
        <v>0</v>
      </c>
      <c r="H440" s="265">
        <v>0</v>
      </c>
      <c r="I440" s="265">
        <v>0</v>
      </c>
      <c r="J440" s="265">
        <v>0</v>
      </c>
      <c r="K440" s="265">
        <v>723.93</v>
      </c>
      <c r="L440" s="265">
        <v>723.93</v>
      </c>
      <c r="M440" s="265">
        <v>0</v>
      </c>
      <c r="N440" s="265">
        <v>0</v>
      </c>
      <c r="O440" s="265">
        <v>0</v>
      </c>
      <c r="P440" s="265">
        <v>0</v>
      </c>
      <c r="Q440" s="265">
        <v>0</v>
      </c>
      <c r="R440" s="265">
        <v>0</v>
      </c>
      <c r="S440" s="265">
        <f t="shared" si="126"/>
        <v>1447.86</v>
      </c>
      <c r="T440" s="265">
        <v>0</v>
      </c>
      <c r="U440" s="265">
        <f t="shared" si="127"/>
        <v>-1447.86</v>
      </c>
      <c r="V440" s="262">
        <v>0</v>
      </c>
      <c r="W440" s="263"/>
    </row>
    <row r="441" spans="1:23" x14ac:dyDescent="0.25">
      <c r="A441" t="s">
        <v>55</v>
      </c>
      <c r="B441" t="s">
        <v>357</v>
      </c>
      <c r="C441" t="s">
        <v>356</v>
      </c>
      <c r="D441" s="283">
        <v>0</v>
      </c>
      <c r="E441" s="283">
        <v>300</v>
      </c>
      <c r="G441" s="265">
        <v>0</v>
      </c>
      <c r="H441" s="265">
        <v>0</v>
      </c>
      <c r="I441" s="265">
        <v>0</v>
      </c>
      <c r="J441" s="265">
        <v>0</v>
      </c>
      <c r="K441" s="265">
        <v>0</v>
      </c>
      <c r="L441" s="265">
        <v>0</v>
      </c>
      <c r="M441" s="265">
        <v>0</v>
      </c>
      <c r="N441" s="265">
        <v>0</v>
      </c>
      <c r="O441" s="265">
        <v>0</v>
      </c>
      <c r="P441" s="265">
        <v>0</v>
      </c>
      <c r="Q441" s="265">
        <v>0</v>
      </c>
      <c r="R441" s="265">
        <v>0</v>
      </c>
      <c r="S441" s="265">
        <f t="shared" si="126"/>
        <v>0</v>
      </c>
      <c r="T441" s="265">
        <v>300</v>
      </c>
      <c r="U441" s="265">
        <f t="shared" si="127"/>
        <v>300</v>
      </c>
      <c r="V441" s="262">
        <f t="shared" ref="V441:V451" si="129">S441/T441</f>
        <v>0</v>
      </c>
      <c r="W441" s="263"/>
    </row>
    <row r="442" spans="1:23" x14ac:dyDescent="0.25">
      <c r="B442" t="s">
        <v>892</v>
      </c>
      <c r="C442" t="s">
        <v>891</v>
      </c>
      <c r="D442" s="283">
        <v>0</v>
      </c>
      <c r="E442" s="283">
        <v>0</v>
      </c>
      <c r="G442" s="265">
        <v>0</v>
      </c>
      <c r="H442" s="265">
        <v>0</v>
      </c>
      <c r="I442" s="265">
        <v>0</v>
      </c>
      <c r="J442" s="265">
        <v>0</v>
      </c>
      <c r="K442" s="265">
        <v>0</v>
      </c>
      <c r="L442" s="265">
        <v>0</v>
      </c>
      <c r="M442" s="265">
        <v>0</v>
      </c>
      <c r="N442" s="265">
        <v>0</v>
      </c>
      <c r="O442" s="265">
        <v>0</v>
      </c>
      <c r="P442" s="265">
        <v>0</v>
      </c>
      <c r="Q442" s="265">
        <v>0</v>
      </c>
      <c r="R442" s="265">
        <v>0</v>
      </c>
      <c r="S442" s="265">
        <f>SUM(G442:R442)</f>
        <v>0</v>
      </c>
      <c r="T442" s="265">
        <v>8000</v>
      </c>
      <c r="U442" s="265">
        <f t="shared" si="127"/>
        <v>8000</v>
      </c>
      <c r="V442" s="262">
        <f t="shared" si="129"/>
        <v>0</v>
      </c>
      <c r="W442" s="263"/>
    </row>
    <row r="443" spans="1:23" x14ac:dyDescent="0.25">
      <c r="A443" t="s">
        <v>55</v>
      </c>
      <c r="B443" t="s">
        <v>355</v>
      </c>
      <c r="C443" t="s">
        <v>354</v>
      </c>
      <c r="D443" s="283">
        <v>0</v>
      </c>
      <c r="E443" s="283">
        <v>125530</v>
      </c>
      <c r="G443" s="265">
        <v>0</v>
      </c>
      <c r="H443" s="265">
        <v>0</v>
      </c>
      <c r="I443" s="265">
        <v>0</v>
      </c>
      <c r="J443" s="265">
        <v>0</v>
      </c>
      <c r="K443" s="265">
        <v>0</v>
      </c>
      <c r="L443" s="265">
        <v>0</v>
      </c>
      <c r="M443" s="265">
        <v>0</v>
      </c>
      <c r="N443" s="265">
        <v>0</v>
      </c>
      <c r="O443" s="265">
        <v>0</v>
      </c>
      <c r="P443" s="265">
        <v>0</v>
      </c>
      <c r="Q443" s="265">
        <v>0</v>
      </c>
      <c r="R443" s="265">
        <v>0</v>
      </c>
      <c r="S443" s="265">
        <f t="shared" si="126"/>
        <v>0</v>
      </c>
      <c r="T443" s="265">
        <v>150000</v>
      </c>
      <c r="U443" s="265">
        <f t="shared" si="127"/>
        <v>150000</v>
      </c>
      <c r="V443" s="262">
        <f t="shared" si="129"/>
        <v>0</v>
      </c>
      <c r="W443" s="263"/>
    </row>
    <row r="444" spans="1:23" x14ac:dyDescent="0.25">
      <c r="A444" t="s">
        <v>55</v>
      </c>
      <c r="B444" t="s">
        <v>353</v>
      </c>
      <c r="C444" t="s">
        <v>246</v>
      </c>
      <c r="D444" s="283">
        <v>238690.74</v>
      </c>
      <c r="E444" s="283">
        <v>200000</v>
      </c>
      <c r="G444" s="265">
        <v>12793.96</v>
      </c>
      <c r="H444" s="265">
        <v>19158.05</v>
      </c>
      <c r="I444" s="265">
        <v>17448.5</v>
      </c>
      <c r="J444" s="265">
        <v>18858.62</v>
      </c>
      <c r="K444" s="265">
        <v>13617.74</v>
      </c>
      <c r="L444" s="265">
        <v>16146.22</v>
      </c>
      <c r="M444" s="265">
        <v>0</v>
      </c>
      <c r="N444" s="265">
        <v>0</v>
      </c>
      <c r="O444" s="265">
        <v>0</v>
      </c>
      <c r="P444" s="265">
        <v>0</v>
      </c>
      <c r="Q444" s="265">
        <v>0</v>
      </c>
      <c r="R444" s="265">
        <v>0</v>
      </c>
      <c r="S444" s="265">
        <f t="shared" si="126"/>
        <v>98023.09</v>
      </c>
      <c r="T444" s="265">
        <v>200000</v>
      </c>
      <c r="U444" s="265">
        <f t="shared" si="127"/>
        <v>101976.91</v>
      </c>
      <c r="V444" s="262">
        <f t="shared" si="129"/>
        <v>0.49011545000000001</v>
      </c>
      <c r="W444" s="263"/>
    </row>
    <row r="445" spans="1:23" x14ac:dyDescent="0.25">
      <c r="A445" t="s">
        <v>55</v>
      </c>
      <c r="B445" t="s">
        <v>352</v>
      </c>
      <c r="C445" t="s">
        <v>351</v>
      </c>
      <c r="D445" s="283">
        <v>0</v>
      </c>
      <c r="E445" s="283">
        <v>7771</v>
      </c>
      <c r="G445" s="265">
        <v>0</v>
      </c>
      <c r="H445" s="265">
        <v>0</v>
      </c>
      <c r="I445" s="265">
        <v>0</v>
      </c>
      <c r="J445" s="265">
        <v>0</v>
      </c>
      <c r="K445" s="265">
        <v>0</v>
      </c>
      <c r="L445" s="265">
        <v>0</v>
      </c>
      <c r="M445" s="274">
        <v>0</v>
      </c>
      <c r="N445" s="265">
        <v>0</v>
      </c>
      <c r="O445" s="265">
        <v>0</v>
      </c>
      <c r="P445" s="265">
        <v>0</v>
      </c>
      <c r="Q445" s="265">
        <v>0</v>
      </c>
      <c r="R445" s="265">
        <v>0</v>
      </c>
      <c r="S445" s="265">
        <f t="shared" si="126"/>
        <v>0</v>
      </c>
      <c r="T445" s="265">
        <v>7771</v>
      </c>
      <c r="U445" s="265">
        <f t="shared" si="127"/>
        <v>7771</v>
      </c>
      <c r="V445" s="262">
        <f t="shared" si="129"/>
        <v>0</v>
      </c>
      <c r="W445" s="263"/>
    </row>
    <row r="446" spans="1:23" x14ac:dyDescent="0.25">
      <c r="A446" t="s">
        <v>55</v>
      </c>
      <c r="B446" t="s">
        <v>350</v>
      </c>
      <c r="C446" t="s">
        <v>349</v>
      </c>
      <c r="D446" s="283">
        <v>11264.19</v>
      </c>
      <c r="E446" s="283">
        <v>24153</v>
      </c>
      <c r="G446" s="265">
        <v>1229.44</v>
      </c>
      <c r="H446" s="265">
        <v>289.44</v>
      </c>
      <c r="I446" s="265">
        <v>0</v>
      </c>
      <c r="J446" s="265">
        <v>0</v>
      </c>
      <c r="K446" s="265">
        <v>1682.5999999999995</v>
      </c>
      <c r="L446" s="265">
        <v>1107</v>
      </c>
      <c r="M446" s="274">
        <v>0</v>
      </c>
      <c r="N446" s="265">
        <v>0</v>
      </c>
      <c r="O446" s="265">
        <v>0</v>
      </c>
      <c r="P446" s="265">
        <v>0</v>
      </c>
      <c r="Q446" s="265">
        <v>0</v>
      </c>
      <c r="R446" s="265">
        <v>0</v>
      </c>
      <c r="S446" s="265">
        <f t="shared" si="126"/>
        <v>4308.4799999999996</v>
      </c>
      <c r="T446" s="265">
        <v>24636</v>
      </c>
      <c r="U446" s="265">
        <f t="shared" si="127"/>
        <v>20327.52</v>
      </c>
      <c r="V446" s="262">
        <f t="shared" si="129"/>
        <v>0.17488553336580612</v>
      </c>
      <c r="W446" s="263"/>
    </row>
    <row r="447" spans="1:23" x14ac:dyDescent="0.25">
      <c r="B447" t="s">
        <v>950</v>
      </c>
      <c r="C447" t="s">
        <v>951</v>
      </c>
      <c r="D447" s="283">
        <v>0</v>
      </c>
      <c r="E447" s="283">
        <v>0</v>
      </c>
      <c r="G447" s="265">
        <v>0</v>
      </c>
      <c r="H447" s="265">
        <v>0</v>
      </c>
      <c r="I447" s="265">
        <v>0</v>
      </c>
      <c r="J447" s="265">
        <v>0</v>
      </c>
      <c r="K447" s="265">
        <v>0</v>
      </c>
      <c r="L447" s="265">
        <v>1520.89</v>
      </c>
      <c r="M447" s="274"/>
      <c r="N447" s="265"/>
      <c r="O447" s="265"/>
      <c r="P447" s="265"/>
      <c r="Q447" s="265"/>
      <c r="R447" s="265"/>
      <c r="S447" s="265">
        <f t="shared" si="126"/>
        <v>1520.89</v>
      </c>
      <c r="T447" s="265">
        <v>0</v>
      </c>
      <c r="U447" s="265">
        <f t="shared" si="127"/>
        <v>-1520.89</v>
      </c>
      <c r="V447" s="262">
        <v>0</v>
      </c>
      <c r="W447" s="263"/>
    </row>
    <row r="448" spans="1:23" x14ac:dyDescent="0.25">
      <c r="A448" t="s">
        <v>55</v>
      </c>
      <c r="B448" t="s">
        <v>348</v>
      </c>
      <c r="C448" t="s">
        <v>347</v>
      </c>
      <c r="D448" s="283">
        <v>1373333.6</v>
      </c>
      <c r="E448" s="283">
        <v>1022068.05</v>
      </c>
      <c r="G448" s="265">
        <v>0</v>
      </c>
      <c r="H448" s="265">
        <v>0</v>
      </c>
      <c r="I448" s="265">
        <v>0</v>
      </c>
      <c r="J448" s="265">
        <v>0</v>
      </c>
      <c r="K448" s="265">
        <v>246871.75</v>
      </c>
      <c r="L448" s="265">
        <v>29813.88</v>
      </c>
      <c r="M448" s="274">
        <v>0</v>
      </c>
      <c r="N448" s="265">
        <v>0</v>
      </c>
      <c r="O448" s="265">
        <v>0</v>
      </c>
      <c r="P448" s="265">
        <v>0</v>
      </c>
      <c r="Q448" s="265">
        <v>0</v>
      </c>
      <c r="R448" s="265">
        <v>0</v>
      </c>
      <c r="S448" s="265">
        <f t="shared" si="126"/>
        <v>276685.63</v>
      </c>
      <c r="T448" s="265">
        <v>953234</v>
      </c>
      <c r="U448" s="265">
        <f t="shared" si="127"/>
        <v>676548.37</v>
      </c>
      <c r="V448" s="262">
        <f t="shared" si="129"/>
        <v>0.29025992568456432</v>
      </c>
      <c r="W448" s="263"/>
    </row>
    <row r="449" spans="1:23" x14ac:dyDescent="0.25">
      <c r="B449" t="s">
        <v>346</v>
      </c>
      <c r="C449" t="s">
        <v>345</v>
      </c>
      <c r="D449" s="283">
        <v>58300.01</v>
      </c>
      <c r="E449" s="283">
        <v>58300</v>
      </c>
      <c r="G449" s="265">
        <v>4955.5</v>
      </c>
      <c r="H449" s="265">
        <v>4955.5</v>
      </c>
      <c r="I449" s="265">
        <v>4955.5</v>
      </c>
      <c r="J449" s="265">
        <v>4955.5</v>
      </c>
      <c r="K449" s="265">
        <v>4955.5</v>
      </c>
      <c r="L449" s="265">
        <v>4726.79</v>
      </c>
      <c r="M449" s="274"/>
      <c r="N449" s="265"/>
      <c r="O449" s="265"/>
      <c r="P449" s="265"/>
      <c r="Q449" s="265"/>
      <c r="R449" s="265"/>
      <c r="S449" s="265">
        <f t="shared" si="126"/>
        <v>29504.29</v>
      </c>
      <c r="T449" s="265">
        <v>59466</v>
      </c>
      <c r="U449" s="265">
        <f t="shared" ref="U449" si="130">T449-S449</f>
        <v>29961.71</v>
      </c>
      <c r="V449" s="262">
        <f t="shared" ref="V449" si="131">S449/T449</f>
        <v>0.4961539367033263</v>
      </c>
      <c r="W449" s="263"/>
    </row>
    <row r="450" spans="1:23" x14ac:dyDescent="0.25">
      <c r="A450" t="s">
        <v>55</v>
      </c>
      <c r="B450" t="s">
        <v>952</v>
      </c>
      <c r="C450" t="s">
        <v>953</v>
      </c>
      <c r="D450" s="283">
        <v>0</v>
      </c>
      <c r="E450" s="283">
        <v>0</v>
      </c>
      <c r="G450" s="265">
        <v>0</v>
      </c>
      <c r="H450" s="265">
        <v>0</v>
      </c>
      <c r="I450" s="265">
        <v>0</v>
      </c>
      <c r="J450" s="265">
        <v>0</v>
      </c>
      <c r="K450" s="265">
        <v>0</v>
      </c>
      <c r="L450" s="265">
        <v>228.71</v>
      </c>
      <c r="M450" s="274">
        <v>0</v>
      </c>
      <c r="N450" s="265">
        <v>0</v>
      </c>
      <c r="O450" s="265">
        <v>0</v>
      </c>
      <c r="P450" s="265">
        <v>0</v>
      </c>
      <c r="Q450" s="265">
        <v>0</v>
      </c>
      <c r="R450" s="265">
        <v>0</v>
      </c>
      <c r="S450" s="265">
        <f t="shared" si="126"/>
        <v>228.71</v>
      </c>
      <c r="T450" s="265">
        <v>0</v>
      </c>
      <c r="U450" s="265">
        <f t="shared" si="127"/>
        <v>-228.71</v>
      </c>
      <c r="V450" s="262">
        <v>0</v>
      </c>
      <c r="W450" s="263"/>
    </row>
    <row r="451" spans="1:23" ht="15.75" thickBot="1" x14ac:dyDescent="0.3">
      <c r="A451" t="s">
        <v>55</v>
      </c>
      <c r="D451" s="363">
        <v>4675609.21</v>
      </c>
      <c r="E451" s="273">
        <v>4340441.43</v>
      </c>
      <c r="F451" s="350"/>
      <c r="G451" s="273">
        <f t="shared" ref="G451:S451" si="132">SUM(G415:G450)</f>
        <v>264903.05000000005</v>
      </c>
      <c r="H451" s="273">
        <f t="shared" si="132"/>
        <v>288104.61</v>
      </c>
      <c r="I451" s="273">
        <f t="shared" si="132"/>
        <v>278267.19</v>
      </c>
      <c r="J451" s="273">
        <f t="shared" si="132"/>
        <v>301050.27999999997</v>
      </c>
      <c r="K451" s="273">
        <f t="shared" si="132"/>
        <v>492515.63000000012</v>
      </c>
      <c r="L451" s="273">
        <f t="shared" si="132"/>
        <v>305414.04000000004</v>
      </c>
      <c r="M451" s="275">
        <f t="shared" si="132"/>
        <v>0</v>
      </c>
      <c r="N451" s="273">
        <f t="shared" si="132"/>
        <v>0</v>
      </c>
      <c r="O451" s="273">
        <f t="shared" si="132"/>
        <v>0</v>
      </c>
      <c r="P451" s="273">
        <f t="shared" si="132"/>
        <v>0</v>
      </c>
      <c r="Q451" s="273">
        <f t="shared" si="132"/>
        <v>0</v>
      </c>
      <c r="R451" s="273">
        <f t="shared" si="132"/>
        <v>0</v>
      </c>
      <c r="S451" s="273">
        <f t="shared" si="132"/>
        <v>1930254.8000000003</v>
      </c>
      <c r="T451" s="273">
        <f>SUM(T415:T450)</f>
        <v>4542128.71</v>
      </c>
      <c r="U451" s="273">
        <f>SUM(U415:U450)</f>
        <v>2611873.9099999997</v>
      </c>
      <c r="V451" s="272">
        <f t="shared" si="129"/>
        <v>0.42496699746758171</v>
      </c>
      <c r="W451" s="263"/>
    </row>
    <row r="452" spans="1:23" ht="15.75" thickTop="1" x14ac:dyDescent="0.25">
      <c r="A452" t="s">
        <v>55</v>
      </c>
      <c r="G452" s="265"/>
      <c r="H452" s="265"/>
      <c r="I452" s="265"/>
      <c r="J452" s="265"/>
      <c r="K452" s="265"/>
      <c r="L452" s="265"/>
      <c r="M452" s="274"/>
      <c r="N452" s="265"/>
      <c r="O452" s="265"/>
      <c r="P452" s="265"/>
      <c r="Q452" s="265"/>
      <c r="R452" s="265"/>
      <c r="S452" s="265"/>
      <c r="T452" s="265"/>
      <c r="U452" s="265"/>
      <c r="W452" s="263"/>
    </row>
    <row r="453" spans="1:23" x14ac:dyDescent="0.25">
      <c r="A453" t="s">
        <v>231</v>
      </c>
      <c r="G453" s="265"/>
      <c r="H453" s="265"/>
      <c r="I453" s="265"/>
      <c r="J453" s="265"/>
      <c r="K453" s="265"/>
      <c r="L453" s="265"/>
      <c r="M453" s="274"/>
      <c r="N453" s="265"/>
      <c r="O453" s="265"/>
      <c r="P453" s="265"/>
      <c r="Q453" s="265"/>
      <c r="R453" s="265"/>
      <c r="S453" s="265"/>
      <c r="T453" s="265"/>
      <c r="U453" s="265"/>
      <c r="W453" s="263"/>
    </row>
    <row r="454" spans="1:23" x14ac:dyDescent="0.25">
      <c r="A454" t="s">
        <v>55</v>
      </c>
      <c r="B454" t="s">
        <v>344</v>
      </c>
      <c r="C454" t="s">
        <v>229</v>
      </c>
      <c r="D454" s="283">
        <v>150.59</v>
      </c>
      <c r="E454" s="283">
        <v>2500</v>
      </c>
      <c r="G454" s="265">
        <v>0</v>
      </c>
      <c r="H454" s="265">
        <v>0</v>
      </c>
      <c r="I454" s="265">
        <v>0</v>
      </c>
      <c r="J454" s="265">
        <v>0</v>
      </c>
      <c r="K454" s="265">
        <v>0</v>
      </c>
      <c r="L454" s="265">
        <v>0</v>
      </c>
      <c r="M454" s="274">
        <v>0</v>
      </c>
      <c r="N454" s="265">
        <v>0</v>
      </c>
      <c r="O454" s="265">
        <v>0</v>
      </c>
      <c r="P454" s="265">
        <v>0</v>
      </c>
      <c r="Q454" s="265">
        <v>0</v>
      </c>
      <c r="R454" s="274">
        <v>0</v>
      </c>
      <c r="S454" s="265">
        <f t="shared" ref="S454:S476" si="133">SUM(G454:R454)</f>
        <v>0</v>
      </c>
      <c r="T454" s="265">
        <v>9500</v>
      </c>
      <c r="U454" s="265">
        <f t="shared" ref="U454:U476" si="134">T454-S454</f>
        <v>9500</v>
      </c>
      <c r="V454" s="262">
        <f t="shared" ref="V454:V477" si="135">S454/T454</f>
        <v>0</v>
      </c>
      <c r="W454" s="263"/>
    </row>
    <row r="455" spans="1:23" x14ac:dyDescent="0.25">
      <c r="A455" t="s">
        <v>55</v>
      </c>
      <c r="B455" t="s">
        <v>343</v>
      </c>
      <c r="C455" t="s">
        <v>342</v>
      </c>
      <c r="D455" s="283">
        <v>0</v>
      </c>
      <c r="E455" s="283">
        <v>6000</v>
      </c>
      <c r="G455" s="265">
        <v>0</v>
      </c>
      <c r="H455" s="265">
        <v>0</v>
      </c>
      <c r="I455" s="265">
        <v>0</v>
      </c>
      <c r="J455" s="265">
        <v>0</v>
      </c>
      <c r="K455" s="265">
        <v>0</v>
      </c>
      <c r="L455" s="265">
        <v>0</v>
      </c>
      <c r="M455" s="274">
        <v>0</v>
      </c>
      <c r="N455" s="265">
        <v>0</v>
      </c>
      <c r="O455" s="265">
        <v>0</v>
      </c>
      <c r="P455" s="265">
        <v>0</v>
      </c>
      <c r="Q455" s="265">
        <v>0</v>
      </c>
      <c r="R455" s="274">
        <v>0</v>
      </c>
      <c r="S455" s="265">
        <f t="shared" si="133"/>
        <v>0</v>
      </c>
      <c r="T455" s="265">
        <v>6000</v>
      </c>
      <c r="U455" s="265">
        <f t="shared" si="134"/>
        <v>6000</v>
      </c>
      <c r="V455" s="262">
        <f t="shared" si="135"/>
        <v>0</v>
      </c>
      <c r="W455" s="263"/>
    </row>
    <row r="456" spans="1:23" x14ac:dyDescent="0.25">
      <c r="A456" t="s">
        <v>55</v>
      </c>
      <c r="B456" t="s">
        <v>341</v>
      </c>
      <c r="C456" t="s">
        <v>340</v>
      </c>
      <c r="D456" s="283">
        <v>12138.75</v>
      </c>
      <c r="E456" s="283">
        <v>62291.54</v>
      </c>
      <c r="G456" s="265">
        <v>390</v>
      </c>
      <c r="H456" s="265">
        <v>15429.37</v>
      </c>
      <c r="I456" s="265">
        <v>3900</v>
      </c>
      <c r="J456" s="265">
        <v>25</v>
      </c>
      <c r="K456" s="265">
        <v>5557.4999999999964</v>
      </c>
      <c r="L456" s="265">
        <v>0</v>
      </c>
      <c r="M456" s="274">
        <v>0</v>
      </c>
      <c r="N456" s="265">
        <v>0</v>
      </c>
      <c r="O456" s="265">
        <v>0</v>
      </c>
      <c r="P456" s="265">
        <v>0</v>
      </c>
      <c r="Q456" s="265">
        <v>0</v>
      </c>
      <c r="R456" s="274">
        <v>0</v>
      </c>
      <c r="S456" s="265">
        <f t="shared" si="133"/>
        <v>25301.87</v>
      </c>
      <c r="T456" s="265">
        <v>20000</v>
      </c>
      <c r="U456" s="265">
        <f t="shared" si="134"/>
        <v>-5301.869999999999</v>
      </c>
      <c r="V456" s="262">
        <f t="shared" si="135"/>
        <v>1.2650934999999999</v>
      </c>
      <c r="W456" s="263"/>
    </row>
    <row r="457" spans="1:23" x14ac:dyDescent="0.25">
      <c r="A457" t="s">
        <v>55</v>
      </c>
      <c r="B457" t="s">
        <v>339</v>
      </c>
      <c r="C457" t="s">
        <v>225</v>
      </c>
      <c r="D457" s="283">
        <v>59975.92</v>
      </c>
      <c r="E457" s="283">
        <v>47500</v>
      </c>
      <c r="G457" s="265">
        <v>4749.4199999999992</v>
      </c>
      <c r="H457" s="265">
        <v>4991.96</v>
      </c>
      <c r="I457" s="283">
        <v>4770.92</v>
      </c>
      <c r="J457" s="265">
        <v>4878.53</v>
      </c>
      <c r="K457" s="265">
        <v>5709.27</v>
      </c>
      <c r="L457" s="265">
        <v>5510.82</v>
      </c>
      <c r="M457" s="274">
        <v>0</v>
      </c>
      <c r="N457" s="265">
        <v>0</v>
      </c>
      <c r="O457" s="265">
        <v>0</v>
      </c>
      <c r="P457" s="265">
        <v>0</v>
      </c>
      <c r="Q457" s="265">
        <v>0</v>
      </c>
      <c r="R457" s="274">
        <v>0</v>
      </c>
      <c r="S457" s="265">
        <f t="shared" si="133"/>
        <v>30610.92</v>
      </c>
      <c r="T457" s="265">
        <v>50000</v>
      </c>
      <c r="U457" s="265">
        <f t="shared" si="134"/>
        <v>19389.080000000002</v>
      </c>
      <c r="V457" s="262">
        <f t="shared" si="135"/>
        <v>0.61221839999999994</v>
      </c>
      <c r="W457" s="263"/>
    </row>
    <row r="458" spans="1:23" x14ac:dyDescent="0.25">
      <c r="A458" t="s">
        <v>55</v>
      </c>
      <c r="B458" t="s">
        <v>338</v>
      </c>
      <c r="C458" t="s">
        <v>337</v>
      </c>
      <c r="D458" s="283">
        <v>0</v>
      </c>
      <c r="E458" s="283">
        <v>2000</v>
      </c>
      <c r="G458" s="265">
        <v>0</v>
      </c>
      <c r="H458" s="265">
        <v>0</v>
      </c>
      <c r="I458" s="265">
        <v>0</v>
      </c>
      <c r="J458" s="265">
        <v>0</v>
      </c>
      <c r="K458" s="265">
        <v>0</v>
      </c>
      <c r="L458" s="265">
        <v>0</v>
      </c>
      <c r="M458" s="274">
        <v>0</v>
      </c>
      <c r="N458" s="265">
        <v>0</v>
      </c>
      <c r="O458" s="265">
        <v>0</v>
      </c>
      <c r="P458" s="265">
        <v>0</v>
      </c>
      <c r="Q458" s="265">
        <v>0</v>
      </c>
      <c r="R458" s="274">
        <v>0</v>
      </c>
      <c r="S458" s="265">
        <f t="shared" si="133"/>
        <v>0</v>
      </c>
      <c r="T458" s="265">
        <v>2000</v>
      </c>
      <c r="U458" s="265">
        <f t="shared" si="134"/>
        <v>2000</v>
      </c>
      <c r="V458" s="262">
        <f t="shared" si="135"/>
        <v>0</v>
      </c>
      <c r="W458" s="263"/>
    </row>
    <row r="459" spans="1:23" x14ac:dyDescent="0.25">
      <c r="A459" t="s">
        <v>55</v>
      </c>
      <c r="B459" t="s">
        <v>336</v>
      </c>
      <c r="C459" t="s">
        <v>221</v>
      </c>
      <c r="D459" s="283">
        <v>121857.53</v>
      </c>
      <c r="E459" s="283">
        <v>57082</v>
      </c>
      <c r="G459" s="265">
        <v>0</v>
      </c>
      <c r="H459" s="265">
        <v>0</v>
      </c>
      <c r="I459" s="265">
        <v>104.07919968988426</v>
      </c>
      <c r="J459" s="265">
        <v>40011.320800310117</v>
      </c>
      <c r="K459" s="265">
        <v>0</v>
      </c>
      <c r="L459" s="265">
        <v>0</v>
      </c>
      <c r="M459" s="274">
        <v>0</v>
      </c>
      <c r="N459" s="265">
        <v>0</v>
      </c>
      <c r="O459" s="265">
        <v>0</v>
      </c>
      <c r="P459" s="265">
        <v>0</v>
      </c>
      <c r="Q459" s="265">
        <v>0</v>
      </c>
      <c r="R459" s="274">
        <v>0</v>
      </c>
      <c r="S459" s="265">
        <f t="shared" si="133"/>
        <v>40115.4</v>
      </c>
      <c r="T459" s="265">
        <v>60000</v>
      </c>
      <c r="U459" s="265">
        <f t="shared" si="134"/>
        <v>19884.599999999999</v>
      </c>
      <c r="V459" s="262">
        <f t="shared" si="135"/>
        <v>0.66859000000000002</v>
      </c>
      <c r="W459" s="263"/>
    </row>
    <row r="460" spans="1:23" x14ac:dyDescent="0.25">
      <c r="A460" t="s">
        <v>55</v>
      </c>
      <c r="B460" t="s">
        <v>335</v>
      </c>
      <c r="C460" t="s">
        <v>219</v>
      </c>
      <c r="D460" s="283">
        <v>0</v>
      </c>
      <c r="E460" s="283">
        <v>4219</v>
      </c>
      <c r="G460" s="265">
        <v>0</v>
      </c>
      <c r="H460" s="265">
        <v>0</v>
      </c>
      <c r="I460" s="265">
        <v>0</v>
      </c>
      <c r="J460" s="265">
        <v>0</v>
      </c>
      <c r="K460" s="265">
        <v>0</v>
      </c>
      <c r="L460" s="265">
        <v>0</v>
      </c>
      <c r="M460" s="265">
        <v>0</v>
      </c>
      <c r="N460" s="265">
        <v>0</v>
      </c>
      <c r="O460" s="265">
        <v>0</v>
      </c>
      <c r="P460" s="265">
        <v>0</v>
      </c>
      <c r="Q460" s="265">
        <v>0</v>
      </c>
      <c r="R460" s="274">
        <v>0</v>
      </c>
      <c r="S460" s="265">
        <f t="shared" si="133"/>
        <v>0</v>
      </c>
      <c r="T460" s="265">
        <v>5000</v>
      </c>
      <c r="U460" s="265">
        <f t="shared" si="134"/>
        <v>5000</v>
      </c>
      <c r="V460" s="262">
        <f t="shared" si="135"/>
        <v>0</v>
      </c>
      <c r="W460" s="263"/>
    </row>
    <row r="461" spans="1:23" x14ac:dyDescent="0.25">
      <c r="A461" t="s">
        <v>55</v>
      </c>
      <c r="B461" t="s">
        <v>334</v>
      </c>
      <c r="C461" t="s">
        <v>333</v>
      </c>
      <c r="D461" s="283">
        <v>234619.86</v>
      </c>
      <c r="E461" s="283">
        <v>185059</v>
      </c>
      <c r="G461" s="265">
        <v>0</v>
      </c>
      <c r="H461" s="265">
        <v>0</v>
      </c>
      <c r="I461" s="265">
        <v>0</v>
      </c>
      <c r="J461" s="265">
        <v>74469.624516495707</v>
      </c>
      <c r="K461" s="265">
        <v>0</v>
      </c>
      <c r="L461" s="265">
        <v>0</v>
      </c>
      <c r="M461" s="265">
        <v>0</v>
      </c>
      <c r="N461" s="265">
        <v>0</v>
      </c>
      <c r="O461" s="265">
        <v>0</v>
      </c>
      <c r="P461" s="265">
        <v>0</v>
      </c>
      <c r="Q461" s="265">
        <v>0</v>
      </c>
      <c r="R461" s="274">
        <v>0</v>
      </c>
      <c r="S461" s="265">
        <f t="shared" si="133"/>
        <v>74469.624516495707</v>
      </c>
      <c r="T461" s="265">
        <v>200000</v>
      </c>
      <c r="U461" s="265">
        <f t="shared" si="134"/>
        <v>125530.37548350429</v>
      </c>
      <c r="V461" s="262">
        <f t="shared" si="135"/>
        <v>0.37234812258247851</v>
      </c>
      <c r="W461" s="263"/>
    </row>
    <row r="462" spans="1:23" x14ac:dyDescent="0.25">
      <c r="A462" t="s">
        <v>55</v>
      </c>
      <c r="B462" t="s">
        <v>332</v>
      </c>
      <c r="C462" t="s">
        <v>331</v>
      </c>
      <c r="D462" s="283">
        <v>5655.14</v>
      </c>
      <c r="E462" s="283">
        <v>5000</v>
      </c>
      <c r="G462" s="265">
        <v>383.4</v>
      </c>
      <c r="H462" s="265">
        <v>266.86</v>
      </c>
      <c r="I462" s="283">
        <v>25</v>
      </c>
      <c r="J462" s="265">
        <v>25</v>
      </c>
      <c r="K462" s="265">
        <v>636.4</v>
      </c>
      <c r="L462" s="265">
        <v>115</v>
      </c>
      <c r="M462" s="265">
        <v>0</v>
      </c>
      <c r="N462" s="265">
        <v>0</v>
      </c>
      <c r="O462" s="265">
        <v>0</v>
      </c>
      <c r="P462" s="265">
        <v>0</v>
      </c>
      <c r="Q462" s="265">
        <v>0</v>
      </c>
      <c r="R462" s="274">
        <v>0</v>
      </c>
      <c r="S462" s="265">
        <f t="shared" si="133"/>
        <v>1451.6599999999999</v>
      </c>
      <c r="T462" s="265">
        <v>7500</v>
      </c>
      <c r="U462" s="265">
        <f t="shared" si="134"/>
        <v>6048.34</v>
      </c>
      <c r="V462" s="262">
        <f t="shared" si="135"/>
        <v>0.19355466666666665</v>
      </c>
      <c r="W462" s="263"/>
    </row>
    <row r="463" spans="1:23" x14ac:dyDescent="0.25">
      <c r="A463" t="s">
        <v>55</v>
      </c>
      <c r="B463" t="s">
        <v>330</v>
      </c>
      <c r="C463" t="s">
        <v>329</v>
      </c>
      <c r="D463" s="283">
        <v>5069.97</v>
      </c>
      <c r="E463" s="283">
        <v>15000</v>
      </c>
      <c r="G463" s="265">
        <f>283.75+296.5</f>
        <v>580.25</v>
      </c>
      <c r="H463" s="265">
        <v>1755</v>
      </c>
      <c r="I463" s="283">
        <v>390</v>
      </c>
      <c r="J463" s="265">
        <v>318</v>
      </c>
      <c r="K463" s="265">
        <v>120</v>
      </c>
      <c r="L463" s="265">
        <v>1178.24</v>
      </c>
      <c r="M463" s="265">
        <v>0</v>
      </c>
      <c r="N463" s="265">
        <v>0</v>
      </c>
      <c r="O463" s="265">
        <v>0</v>
      </c>
      <c r="P463" s="265">
        <v>0</v>
      </c>
      <c r="Q463" s="265">
        <v>0</v>
      </c>
      <c r="R463" s="274">
        <v>0</v>
      </c>
      <c r="S463" s="265">
        <f t="shared" si="133"/>
        <v>4341.49</v>
      </c>
      <c r="T463" s="265">
        <v>15000</v>
      </c>
      <c r="U463" s="265">
        <f t="shared" si="134"/>
        <v>10658.51</v>
      </c>
      <c r="V463" s="262">
        <f t="shared" si="135"/>
        <v>0.28943266666666667</v>
      </c>
      <c r="W463" s="263"/>
    </row>
    <row r="464" spans="1:23" x14ac:dyDescent="0.25">
      <c r="A464" t="s">
        <v>55</v>
      </c>
      <c r="B464" t="s">
        <v>328</v>
      </c>
      <c r="C464" t="s">
        <v>327</v>
      </c>
      <c r="D464" s="283">
        <v>3233.24</v>
      </c>
      <c r="E464" s="283">
        <v>3000</v>
      </c>
      <c r="G464" s="265">
        <v>0</v>
      </c>
      <c r="H464" s="265">
        <v>0</v>
      </c>
      <c r="I464" s="265">
        <v>0</v>
      </c>
      <c r="J464" s="265">
        <v>0</v>
      </c>
      <c r="K464" s="265">
        <v>0</v>
      </c>
      <c r="L464" s="265">
        <v>70</v>
      </c>
      <c r="M464" s="265">
        <v>0</v>
      </c>
      <c r="N464" s="265">
        <v>0</v>
      </c>
      <c r="O464" s="265">
        <v>0</v>
      </c>
      <c r="P464" s="265">
        <v>0</v>
      </c>
      <c r="Q464" s="265">
        <v>0</v>
      </c>
      <c r="R464" s="274">
        <v>0</v>
      </c>
      <c r="S464" s="265">
        <f t="shared" si="133"/>
        <v>70</v>
      </c>
      <c r="T464" s="265">
        <v>3000</v>
      </c>
      <c r="U464" s="265">
        <f t="shared" si="134"/>
        <v>2930</v>
      </c>
      <c r="V464" s="262">
        <f t="shared" si="135"/>
        <v>2.3333333333333334E-2</v>
      </c>
      <c r="W464" s="263"/>
    </row>
    <row r="465" spans="1:23" x14ac:dyDescent="0.25">
      <c r="A465" t="s">
        <v>55</v>
      </c>
      <c r="B465" t="s">
        <v>326</v>
      </c>
      <c r="C465" t="s">
        <v>325</v>
      </c>
      <c r="D465" s="283">
        <v>49189.61</v>
      </c>
      <c r="E465" s="283">
        <v>50000</v>
      </c>
      <c r="G465" s="265">
        <v>47760.33</v>
      </c>
      <c r="H465" s="265">
        <v>0</v>
      </c>
      <c r="I465" s="265">
        <v>0</v>
      </c>
      <c r="J465" s="265">
        <v>0</v>
      </c>
      <c r="K465" s="265">
        <v>0</v>
      </c>
      <c r="L465" s="265">
        <v>0</v>
      </c>
      <c r="M465" s="265">
        <v>0</v>
      </c>
      <c r="N465" s="265">
        <v>0</v>
      </c>
      <c r="O465" s="265">
        <v>0</v>
      </c>
      <c r="P465" s="265">
        <v>0</v>
      </c>
      <c r="Q465" s="265">
        <v>0</v>
      </c>
      <c r="R465" s="274">
        <v>0</v>
      </c>
      <c r="S465" s="265">
        <f t="shared" si="133"/>
        <v>47760.33</v>
      </c>
      <c r="T465" s="265">
        <v>50000</v>
      </c>
      <c r="U465" s="265">
        <f t="shared" si="134"/>
        <v>2239.6699999999983</v>
      </c>
      <c r="V465" s="262">
        <f t="shared" si="135"/>
        <v>0.95520660000000002</v>
      </c>
      <c r="W465" s="263"/>
    </row>
    <row r="466" spans="1:23" x14ac:dyDescent="0.25">
      <c r="A466" t="s">
        <v>55</v>
      </c>
      <c r="B466" t="s">
        <v>324</v>
      </c>
      <c r="C466" t="s">
        <v>323</v>
      </c>
      <c r="D466" s="283">
        <v>489.9</v>
      </c>
      <c r="E466" s="283">
        <v>3000</v>
      </c>
      <c r="G466" s="265">
        <v>108</v>
      </c>
      <c r="H466" s="265">
        <v>0</v>
      </c>
      <c r="I466" s="283">
        <v>769.53</v>
      </c>
      <c r="J466" s="265">
        <v>361.9</v>
      </c>
      <c r="K466" s="265">
        <v>0</v>
      </c>
      <c r="L466" s="265">
        <v>0</v>
      </c>
      <c r="M466" s="265">
        <v>0</v>
      </c>
      <c r="N466" s="265">
        <v>0</v>
      </c>
      <c r="O466" s="265">
        <v>0</v>
      </c>
      <c r="P466" s="265">
        <v>0</v>
      </c>
      <c r="Q466" s="265">
        <v>0</v>
      </c>
      <c r="R466" s="274">
        <v>0</v>
      </c>
      <c r="S466" s="265">
        <f t="shared" si="133"/>
        <v>1239.4299999999998</v>
      </c>
      <c r="T466" s="265">
        <v>3000</v>
      </c>
      <c r="U466" s="265">
        <f t="shared" si="134"/>
        <v>1760.5700000000002</v>
      </c>
      <c r="V466" s="262">
        <f t="shared" si="135"/>
        <v>0.41314333333333325</v>
      </c>
      <c r="W466" s="263"/>
    </row>
    <row r="467" spans="1:23" x14ac:dyDescent="0.25">
      <c r="A467" t="s">
        <v>55</v>
      </c>
      <c r="B467" t="s">
        <v>322</v>
      </c>
      <c r="C467" t="s">
        <v>321</v>
      </c>
      <c r="D467" s="283">
        <v>2235.04</v>
      </c>
      <c r="E467" s="283">
        <v>3000</v>
      </c>
      <c r="G467" s="265">
        <v>0</v>
      </c>
      <c r="H467" s="265">
        <v>0</v>
      </c>
      <c r="I467" s="265">
        <v>0</v>
      </c>
      <c r="J467" s="265">
        <v>0</v>
      </c>
      <c r="K467" s="265">
        <v>0</v>
      </c>
      <c r="L467" s="265">
        <v>0</v>
      </c>
      <c r="M467" s="265">
        <v>0</v>
      </c>
      <c r="N467" s="265">
        <v>0</v>
      </c>
      <c r="O467" s="265">
        <v>0</v>
      </c>
      <c r="P467" s="265">
        <v>0</v>
      </c>
      <c r="Q467" s="265">
        <v>0</v>
      </c>
      <c r="R467" s="274">
        <v>0</v>
      </c>
      <c r="S467" s="265">
        <f t="shared" si="133"/>
        <v>0</v>
      </c>
      <c r="T467" s="265">
        <v>3000</v>
      </c>
      <c r="U467" s="265">
        <f t="shared" si="134"/>
        <v>3000</v>
      </c>
      <c r="V467" s="262">
        <f t="shared" si="135"/>
        <v>0</v>
      </c>
      <c r="W467" s="263"/>
    </row>
    <row r="468" spans="1:23" x14ac:dyDescent="0.25">
      <c r="A468" t="s">
        <v>55</v>
      </c>
      <c r="B468" t="s">
        <v>320</v>
      </c>
      <c r="C468" t="s">
        <v>319</v>
      </c>
      <c r="D468" s="283">
        <v>12046.64</v>
      </c>
      <c r="E468" s="283">
        <v>12500</v>
      </c>
      <c r="G468" s="265">
        <v>270</v>
      </c>
      <c r="H468" s="265">
        <v>0</v>
      </c>
      <c r="I468" s="265">
        <v>0</v>
      </c>
      <c r="J468" s="265">
        <v>0</v>
      </c>
      <c r="K468" s="265">
        <v>579.4</v>
      </c>
      <c r="L468" s="265">
        <v>204</v>
      </c>
      <c r="M468" s="265">
        <v>0</v>
      </c>
      <c r="N468" s="265">
        <v>0</v>
      </c>
      <c r="O468" s="265">
        <v>0</v>
      </c>
      <c r="P468" s="265">
        <v>0</v>
      </c>
      <c r="Q468" s="265">
        <v>0</v>
      </c>
      <c r="R468" s="274">
        <v>0</v>
      </c>
      <c r="S468" s="265">
        <f t="shared" si="133"/>
        <v>1053.4000000000001</v>
      </c>
      <c r="T468" s="265">
        <v>12500</v>
      </c>
      <c r="U468" s="265">
        <f t="shared" si="134"/>
        <v>11446.6</v>
      </c>
      <c r="V468" s="262">
        <f t="shared" si="135"/>
        <v>8.4272000000000014E-2</v>
      </c>
      <c r="W468" s="263"/>
    </row>
    <row r="469" spans="1:23" x14ac:dyDescent="0.25">
      <c r="A469" t="s">
        <v>55</v>
      </c>
      <c r="B469" t="s">
        <v>318</v>
      </c>
      <c r="C469" t="s">
        <v>194</v>
      </c>
      <c r="D469" s="283">
        <v>5337.06</v>
      </c>
      <c r="E469" s="283">
        <v>6000</v>
      </c>
      <c r="G469" s="265">
        <v>319.20999999999998</v>
      </c>
      <c r="H469" s="265">
        <v>0</v>
      </c>
      <c r="I469" s="283">
        <v>80</v>
      </c>
      <c r="J469" s="265">
        <v>0</v>
      </c>
      <c r="K469" s="265">
        <v>507</v>
      </c>
      <c r="L469" s="265">
        <v>90</v>
      </c>
      <c r="M469" s="265">
        <v>0</v>
      </c>
      <c r="N469" s="265">
        <v>0</v>
      </c>
      <c r="O469" s="265">
        <v>0</v>
      </c>
      <c r="P469" s="265">
        <v>0</v>
      </c>
      <c r="Q469" s="265">
        <v>0</v>
      </c>
      <c r="R469" s="274">
        <v>0</v>
      </c>
      <c r="S469" s="265">
        <f t="shared" si="133"/>
        <v>996.21</v>
      </c>
      <c r="T469" s="265">
        <v>7500</v>
      </c>
      <c r="U469" s="265">
        <f t="shared" si="134"/>
        <v>6503.79</v>
      </c>
      <c r="V469" s="262">
        <f t="shared" si="135"/>
        <v>0.132828</v>
      </c>
      <c r="W469" s="263"/>
    </row>
    <row r="470" spans="1:23" x14ac:dyDescent="0.25">
      <c r="A470" t="s">
        <v>55</v>
      </c>
      <c r="B470" t="s">
        <v>317</v>
      </c>
      <c r="C470" t="s">
        <v>316</v>
      </c>
      <c r="D470" s="283">
        <v>2824.5</v>
      </c>
      <c r="E470" s="283">
        <v>4000</v>
      </c>
      <c r="G470" s="265">
        <v>847.92</v>
      </c>
      <c r="H470" s="265">
        <v>110</v>
      </c>
      <c r="I470" s="265">
        <v>0</v>
      </c>
      <c r="J470" s="265">
        <v>0</v>
      </c>
      <c r="K470" s="265">
        <v>0</v>
      </c>
      <c r="L470" s="265">
        <v>1087.81</v>
      </c>
      <c r="M470" s="265">
        <v>0</v>
      </c>
      <c r="N470" s="265">
        <v>0</v>
      </c>
      <c r="O470" s="265">
        <v>0</v>
      </c>
      <c r="P470" s="265">
        <v>0</v>
      </c>
      <c r="Q470" s="265">
        <v>0</v>
      </c>
      <c r="R470" s="274">
        <v>0</v>
      </c>
      <c r="S470" s="265">
        <f t="shared" si="133"/>
        <v>2045.73</v>
      </c>
      <c r="T470" s="265">
        <v>5000</v>
      </c>
      <c r="U470" s="265">
        <f t="shared" si="134"/>
        <v>2954.27</v>
      </c>
      <c r="V470" s="262">
        <f t="shared" si="135"/>
        <v>0.40914600000000001</v>
      </c>
      <c r="W470" s="263"/>
    </row>
    <row r="471" spans="1:23" x14ac:dyDescent="0.25">
      <c r="A471" t="s">
        <v>55</v>
      </c>
      <c r="B471" t="s">
        <v>315</v>
      </c>
      <c r="C471" t="s">
        <v>314</v>
      </c>
      <c r="D471" s="283">
        <v>17774.990000000002</v>
      </c>
      <c r="E471" s="283">
        <v>15000</v>
      </c>
      <c r="G471" s="265">
        <v>1324.12</v>
      </c>
      <c r="H471" s="265">
        <v>1341.87</v>
      </c>
      <c r="I471" s="283">
        <v>1341.87</v>
      </c>
      <c r="J471" s="265">
        <v>2238</v>
      </c>
      <c r="K471" s="265">
        <v>1341.87</v>
      </c>
      <c r="L471" s="265">
        <v>2683.74</v>
      </c>
      <c r="M471" s="265">
        <v>0</v>
      </c>
      <c r="N471" s="265">
        <v>0</v>
      </c>
      <c r="O471" s="265">
        <v>0</v>
      </c>
      <c r="P471" s="265">
        <v>0</v>
      </c>
      <c r="Q471" s="265">
        <v>0</v>
      </c>
      <c r="R471" s="274">
        <v>0</v>
      </c>
      <c r="S471" s="265">
        <f t="shared" si="133"/>
        <v>10271.469999999999</v>
      </c>
      <c r="T471" s="265">
        <v>18000</v>
      </c>
      <c r="U471" s="265">
        <f t="shared" si="134"/>
        <v>7728.5300000000007</v>
      </c>
      <c r="V471" s="262">
        <f t="shared" si="135"/>
        <v>0.57063722222222224</v>
      </c>
      <c r="W471" s="263"/>
    </row>
    <row r="472" spans="1:23" x14ac:dyDescent="0.25">
      <c r="A472" t="s">
        <v>55</v>
      </c>
      <c r="B472" t="s">
        <v>313</v>
      </c>
      <c r="C472" t="s">
        <v>312</v>
      </c>
      <c r="D472" s="283">
        <v>4460.21</v>
      </c>
      <c r="E472" s="283">
        <v>5000</v>
      </c>
      <c r="G472" s="265">
        <v>400</v>
      </c>
      <c r="H472" s="265">
        <v>0</v>
      </c>
      <c r="I472" s="265">
        <v>0</v>
      </c>
      <c r="J472" s="265">
        <v>475</v>
      </c>
      <c r="K472" s="265">
        <v>375</v>
      </c>
      <c r="L472" s="265">
        <v>1995</v>
      </c>
      <c r="M472" s="265">
        <v>0</v>
      </c>
      <c r="N472" s="265">
        <v>0</v>
      </c>
      <c r="O472" s="265">
        <v>0</v>
      </c>
      <c r="P472" s="265">
        <v>0</v>
      </c>
      <c r="Q472" s="265">
        <v>0</v>
      </c>
      <c r="R472" s="274">
        <v>0</v>
      </c>
      <c r="S472" s="265">
        <f t="shared" si="133"/>
        <v>3245</v>
      </c>
      <c r="T472" s="265">
        <v>7500</v>
      </c>
      <c r="U472" s="265">
        <f t="shared" si="134"/>
        <v>4255</v>
      </c>
      <c r="V472" s="262">
        <f t="shared" si="135"/>
        <v>0.43266666666666664</v>
      </c>
      <c r="W472" s="263"/>
    </row>
    <row r="473" spans="1:23" x14ac:dyDescent="0.25">
      <c r="A473" t="s">
        <v>55</v>
      </c>
      <c r="B473" t="s">
        <v>311</v>
      </c>
      <c r="C473" t="s">
        <v>310</v>
      </c>
      <c r="D473" s="283">
        <v>16703.990000000002</v>
      </c>
      <c r="E473" s="283">
        <v>16000</v>
      </c>
      <c r="G473" s="265">
        <v>4830</v>
      </c>
      <c r="H473" s="265">
        <v>0</v>
      </c>
      <c r="I473" s="265">
        <v>0</v>
      </c>
      <c r="J473" s="265">
        <v>175</v>
      </c>
      <c r="K473" s="265">
        <v>600</v>
      </c>
      <c r="L473" s="265">
        <v>116.5</v>
      </c>
      <c r="M473" s="265">
        <v>0</v>
      </c>
      <c r="N473" s="265">
        <v>0</v>
      </c>
      <c r="O473" s="265">
        <v>0</v>
      </c>
      <c r="P473" s="265">
        <v>0</v>
      </c>
      <c r="Q473" s="265">
        <v>0</v>
      </c>
      <c r="R473" s="274">
        <v>0</v>
      </c>
      <c r="S473" s="265">
        <f t="shared" si="133"/>
        <v>5721.5</v>
      </c>
      <c r="T473" s="265">
        <v>16000</v>
      </c>
      <c r="U473" s="265">
        <f t="shared" si="134"/>
        <v>10278.5</v>
      </c>
      <c r="V473" s="262">
        <f t="shared" si="135"/>
        <v>0.35759374999999999</v>
      </c>
      <c r="W473" s="263"/>
    </row>
    <row r="474" spans="1:23" x14ac:dyDescent="0.25">
      <c r="A474" t="s">
        <v>55</v>
      </c>
      <c r="B474" t="s">
        <v>309</v>
      </c>
      <c r="C474" t="s">
        <v>188</v>
      </c>
      <c r="D474" s="283">
        <v>60485</v>
      </c>
      <c r="E474" s="283">
        <v>80000</v>
      </c>
      <c r="G474" s="265">
        <v>5775</v>
      </c>
      <c r="H474" s="265">
        <v>4950</v>
      </c>
      <c r="I474" s="283">
        <v>3740</v>
      </c>
      <c r="J474" s="265">
        <v>4700</v>
      </c>
      <c r="K474" s="265">
        <v>5150</v>
      </c>
      <c r="L474" s="265">
        <v>5075</v>
      </c>
      <c r="M474" s="265">
        <v>0</v>
      </c>
      <c r="N474" s="265">
        <v>0</v>
      </c>
      <c r="O474" s="265">
        <v>0</v>
      </c>
      <c r="P474" s="265">
        <v>0</v>
      </c>
      <c r="Q474" s="265">
        <v>0</v>
      </c>
      <c r="R474" s="274">
        <v>0</v>
      </c>
      <c r="S474" s="265">
        <f t="shared" si="133"/>
        <v>29390</v>
      </c>
      <c r="T474" s="265">
        <v>80000</v>
      </c>
      <c r="U474" s="265">
        <f t="shared" si="134"/>
        <v>50610</v>
      </c>
      <c r="V474" s="262">
        <f t="shared" si="135"/>
        <v>0.36737500000000001</v>
      </c>
      <c r="W474" s="263"/>
    </row>
    <row r="475" spans="1:23" x14ac:dyDescent="0.25">
      <c r="A475" t="s">
        <v>55</v>
      </c>
      <c r="B475" t="s">
        <v>308</v>
      </c>
      <c r="C475" t="s">
        <v>190</v>
      </c>
      <c r="D475" s="283">
        <v>1766.25</v>
      </c>
      <c r="E475" s="283">
        <v>2500</v>
      </c>
      <c r="G475" s="265">
        <v>0</v>
      </c>
      <c r="H475" s="265">
        <v>120</v>
      </c>
      <c r="I475" s="283">
        <v>1650</v>
      </c>
      <c r="J475" s="265">
        <v>135</v>
      </c>
      <c r="K475" s="265">
        <v>0</v>
      </c>
      <c r="L475" s="265">
        <v>315</v>
      </c>
      <c r="M475" s="265">
        <v>0</v>
      </c>
      <c r="N475" s="265">
        <v>0</v>
      </c>
      <c r="O475" s="265">
        <v>0</v>
      </c>
      <c r="P475" s="265">
        <v>0</v>
      </c>
      <c r="Q475" s="265">
        <v>0</v>
      </c>
      <c r="R475" s="274">
        <v>0</v>
      </c>
      <c r="S475" s="265">
        <f t="shared" si="133"/>
        <v>2220</v>
      </c>
      <c r="T475" s="265">
        <v>2500</v>
      </c>
      <c r="U475" s="265">
        <f t="shared" si="134"/>
        <v>280</v>
      </c>
      <c r="V475" s="262">
        <f t="shared" si="135"/>
        <v>0.88800000000000001</v>
      </c>
      <c r="W475" s="263"/>
    </row>
    <row r="476" spans="1:23" x14ac:dyDescent="0.25">
      <c r="A476" t="s">
        <v>55</v>
      </c>
      <c r="B476" t="s">
        <v>307</v>
      </c>
      <c r="C476" t="s">
        <v>306</v>
      </c>
      <c r="D476" s="283">
        <v>7575.16</v>
      </c>
      <c r="E476" s="283">
        <v>7000</v>
      </c>
      <c r="G476" s="265">
        <v>891.75999999999988</v>
      </c>
      <c r="H476" s="265">
        <v>566.57000000000005</v>
      </c>
      <c r="I476" s="283">
        <v>806.73</v>
      </c>
      <c r="J476" s="265">
        <v>465.93</v>
      </c>
      <c r="K476" s="265">
        <v>1043.83</v>
      </c>
      <c r="L476" s="265">
        <v>926.62</v>
      </c>
      <c r="M476" s="265">
        <v>0</v>
      </c>
      <c r="N476" s="265">
        <v>0</v>
      </c>
      <c r="O476" s="265">
        <v>0</v>
      </c>
      <c r="P476" s="265">
        <v>0</v>
      </c>
      <c r="Q476" s="265">
        <v>0</v>
      </c>
      <c r="R476" s="274">
        <v>0</v>
      </c>
      <c r="S476" s="265">
        <f t="shared" si="133"/>
        <v>4701.4399999999996</v>
      </c>
      <c r="T476" s="265">
        <v>7000</v>
      </c>
      <c r="U476" s="265">
        <f t="shared" si="134"/>
        <v>2298.5600000000004</v>
      </c>
      <c r="V476" s="262">
        <f t="shared" si="135"/>
        <v>0.67163428571428563</v>
      </c>
      <c r="W476" s="263"/>
    </row>
    <row r="477" spans="1:23" ht="15.75" thickBot="1" x14ac:dyDescent="0.3">
      <c r="D477" s="363">
        <v>623589.35</v>
      </c>
      <c r="E477" s="273">
        <v>593651.54</v>
      </c>
      <c r="F477" s="350"/>
      <c r="G477" s="273">
        <f t="shared" ref="G477:S477" si="136">SUM(G454:G476)</f>
        <v>68629.409999999989</v>
      </c>
      <c r="H477" s="273">
        <f t="shared" si="136"/>
        <v>29531.63</v>
      </c>
      <c r="I477" s="273">
        <f t="shared" si="136"/>
        <v>17578.129199689884</v>
      </c>
      <c r="J477" s="273">
        <f t="shared" si="136"/>
        <v>128278.30531680581</v>
      </c>
      <c r="K477" s="273">
        <f t="shared" si="136"/>
        <v>21620.269999999997</v>
      </c>
      <c r="L477" s="273">
        <f t="shared" si="136"/>
        <v>19367.73</v>
      </c>
      <c r="M477" s="273">
        <f t="shared" si="136"/>
        <v>0</v>
      </c>
      <c r="N477" s="273">
        <f t="shared" si="136"/>
        <v>0</v>
      </c>
      <c r="O477" s="273">
        <f t="shared" si="136"/>
        <v>0</v>
      </c>
      <c r="P477" s="273">
        <f t="shared" si="136"/>
        <v>0</v>
      </c>
      <c r="Q477" s="273">
        <f t="shared" si="136"/>
        <v>0</v>
      </c>
      <c r="R477" s="273">
        <f t="shared" si="136"/>
        <v>0</v>
      </c>
      <c r="S477" s="273">
        <f t="shared" si="136"/>
        <v>285005.47451649571</v>
      </c>
      <c r="T477" s="273">
        <f>SUM(T454:T476)</f>
        <v>590000</v>
      </c>
      <c r="U477" s="273">
        <f>SUM(U454:U476)</f>
        <v>304994.52548350429</v>
      </c>
      <c r="V477" s="272">
        <f t="shared" si="135"/>
        <v>0.4830601262991453</v>
      </c>
      <c r="W477" s="263"/>
    </row>
    <row r="478" spans="1:23" ht="15.75" thickTop="1" x14ac:dyDescent="0.25">
      <c r="A478" t="s">
        <v>187</v>
      </c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W478" s="263"/>
    </row>
    <row r="479" spans="1:23" x14ac:dyDescent="0.25">
      <c r="A479" t="s">
        <v>55</v>
      </c>
      <c r="B479" t="s">
        <v>305</v>
      </c>
      <c r="C479" t="s">
        <v>185</v>
      </c>
      <c r="D479" s="283">
        <v>705008.07</v>
      </c>
      <c r="E479" s="283">
        <v>669419.9</v>
      </c>
      <c r="G479" s="265">
        <v>59818.97</v>
      </c>
      <c r="H479" s="265">
        <v>61341.95</v>
      </c>
      <c r="I479" s="265">
        <v>60717.95</v>
      </c>
      <c r="J479" s="265">
        <v>59437.100000000049</v>
      </c>
      <c r="K479" s="265">
        <v>59748.449999999968</v>
      </c>
      <c r="L479" s="265">
        <v>59787.62</v>
      </c>
      <c r="M479" s="265">
        <v>0</v>
      </c>
      <c r="N479" s="265">
        <v>0</v>
      </c>
      <c r="O479" s="265">
        <v>0</v>
      </c>
      <c r="P479" s="265">
        <v>0</v>
      </c>
      <c r="Q479" s="265">
        <v>0</v>
      </c>
      <c r="R479" s="274">
        <v>0</v>
      </c>
      <c r="S479" s="265">
        <f t="shared" ref="S479:S484" si="137">SUM(G479:R479)</f>
        <v>360852.04</v>
      </c>
      <c r="T479" s="265">
        <v>700000</v>
      </c>
      <c r="U479" s="265">
        <f t="shared" ref="U479:U484" si="138">T479-S479</f>
        <v>339147.96</v>
      </c>
      <c r="V479" s="262">
        <f t="shared" ref="V479:V485" si="139">S479/T479</f>
        <v>0.51550291428571426</v>
      </c>
      <c r="W479" s="263"/>
    </row>
    <row r="480" spans="1:23" x14ac:dyDescent="0.25">
      <c r="A480" t="s">
        <v>55</v>
      </c>
      <c r="B480" t="s">
        <v>304</v>
      </c>
      <c r="C480" t="s">
        <v>183</v>
      </c>
      <c r="D480" s="283">
        <v>33997.61</v>
      </c>
      <c r="E480" s="283">
        <v>2664</v>
      </c>
      <c r="G480" s="265">
        <v>2861.39</v>
      </c>
      <c r="H480" s="265">
        <v>3318.57</v>
      </c>
      <c r="I480" s="265">
        <v>3335.51</v>
      </c>
      <c r="J480" s="265">
        <v>3189.41</v>
      </c>
      <c r="K480" s="265">
        <v>3100.61</v>
      </c>
      <c r="L480" s="265">
        <v>3098.34</v>
      </c>
      <c r="M480" s="265">
        <v>0</v>
      </c>
      <c r="N480" s="265">
        <v>0</v>
      </c>
      <c r="O480" s="265">
        <v>0</v>
      </c>
      <c r="P480" s="265">
        <v>0</v>
      </c>
      <c r="Q480" s="265">
        <v>0</v>
      </c>
      <c r="R480" s="274">
        <v>0</v>
      </c>
      <c r="S480" s="265">
        <f t="shared" si="137"/>
        <v>18903.830000000002</v>
      </c>
      <c r="T480" s="265">
        <v>3000</v>
      </c>
      <c r="U480" s="265">
        <f t="shared" si="138"/>
        <v>-15903.830000000002</v>
      </c>
      <c r="V480" s="262">
        <f t="shared" si="139"/>
        <v>6.3012766666666673</v>
      </c>
      <c r="W480" s="263"/>
    </row>
    <row r="481" spans="1:23" x14ac:dyDescent="0.25">
      <c r="A481" t="s">
        <v>55</v>
      </c>
      <c r="B481" t="s">
        <v>303</v>
      </c>
      <c r="C481" t="s">
        <v>181</v>
      </c>
      <c r="D481" s="283">
        <v>6286.66</v>
      </c>
      <c r="E481" s="283">
        <v>5816.52</v>
      </c>
      <c r="G481" s="265">
        <v>448.22000000000014</v>
      </c>
      <c r="H481" s="265">
        <v>776.16</v>
      </c>
      <c r="I481" s="265">
        <v>0</v>
      </c>
      <c r="J481" s="265">
        <v>1337.12</v>
      </c>
      <c r="K481" s="265">
        <v>0</v>
      </c>
      <c r="L481" s="265">
        <v>1085.18</v>
      </c>
      <c r="M481" s="265">
        <v>0</v>
      </c>
      <c r="N481" s="265">
        <v>0</v>
      </c>
      <c r="O481" s="265">
        <v>0</v>
      </c>
      <c r="P481" s="265">
        <v>0</v>
      </c>
      <c r="Q481" s="265">
        <v>0</v>
      </c>
      <c r="R481" s="274">
        <v>0</v>
      </c>
      <c r="S481" s="265">
        <f t="shared" si="137"/>
        <v>3646.6800000000003</v>
      </c>
      <c r="T481" s="265">
        <v>6000</v>
      </c>
      <c r="U481" s="265">
        <f t="shared" si="138"/>
        <v>2353.3199999999997</v>
      </c>
      <c r="V481" s="262">
        <f t="shared" si="139"/>
        <v>0.6077800000000001</v>
      </c>
      <c r="W481" s="263"/>
    </row>
    <row r="482" spans="1:23" x14ac:dyDescent="0.25">
      <c r="A482" t="s">
        <v>55</v>
      </c>
      <c r="B482" t="s">
        <v>302</v>
      </c>
      <c r="C482" t="s">
        <v>179</v>
      </c>
      <c r="D482" s="283">
        <v>0</v>
      </c>
      <c r="E482" s="283">
        <v>27898.68</v>
      </c>
      <c r="G482" s="265">
        <v>0</v>
      </c>
      <c r="H482" s="265">
        <v>0</v>
      </c>
      <c r="I482" s="265">
        <v>0</v>
      </c>
      <c r="J482" s="265">
        <v>0</v>
      </c>
      <c r="K482" s="265">
        <v>0</v>
      </c>
      <c r="L482" s="265">
        <v>0</v>
      </c>
      <c r="M482" s="265">
        <v>0</v>
      </c>
      <c r="N482" s="265">
        <v>0</v>
      </c>
      <c r="O482" s="265">
        <v>0</v>
      </c>
      <c r="P482" s="265">
        <v>0</v>
      </c>
      <c r="Q482" s="265">
        <v>0</v>
      </c>
      <c r="R482" s="274">
        <v>0</v>
      </c>
      <c r="S482" s="265">
        <f t="shared" si="137"/>
        <v>0</v>
      </c>
      <c r="T482" s="265">
        <v>30000</v>
      </c>
      <c r="U482" s="265">
        <f t="shared" si="138"/>
        <v>30000</v>
      </c>
      <c r="V482" s="262">
        <f t="shared" si="139"/>
        <v>0</v>
      </c>
      <c r="W482" s="263"/>
    </row>
    <row r="483" spans="1:23" x14ac:dyDescent="0.25">
      <c r="A483" t="s">
        <v>55</v>
      </c>
      <c r="B483" t="s">
        <v>301</v>
      </c>
      <c r="C483" t="s">
        <v>177</v>
      </c>
      <c r="D483" s="283">
        <v>62412.76</v>
      </c>
      <c r="E483" s="283">
        <v>9612</v>
      </c>
      <c r="G483" s="265">
        <v>5594.14</v>
      </c>
      <c r="H483" s="265">
        <v>5594.14</v>
      </c>
      <c r="I483" s="265">
        <v>5594.14</v>
      </c>
      <c r="J483" s="265">
        <v>5594.14</v>
      </c>
      <c r="K483" s="265">
        <v>5594.14</v>
      </c>
      <c r="L483" s="265">
        <v>5594.14</v>
      </c>
      <c r="M483" s="265">
        <v>0</v>
      </c>
      <c r="N483" s="265">
        <v>0</v>
      </c>
      <c r="O483" s="265">
        <v>0</v>
      </c>
      <c r="P483" s="265">
        <v>0</v>
      </c>
      <c r="Q483" s="265">
        <v>0</v>
      </c>
      <c r="R483" s="274">
        <v>0</v>
      </c>
      <c r="S483" s="265">
        <f t="shared" si="137"/>
        <v>33564.840000000004</v>
      </c>
      <c r="T483" s="265">
        <v>12000</v>
      </c>
      <c r="U483" s="265">
        <f t="shared" si="138"/>
        <v>-21564.840000000004</v>
      </c>
      <c r="V483" s="262">
        <f t="shared" si="139"/>
        <v>2.7970700000000002</v>
      </c>
      <c r="W483" s="263"/>
    </row>
    <row r="484" spans="1:23" x14ac:dyDescent="0.25">
      <c r="A484" t="s">
        <v>55</v>
      </c>
      <c r="B484" t="s">
        <v>300</v>
      </c>
      <c r="C484" t="s">
        <v>175</v>
      </c>
      <c r="D484" s="283">
        <v>3021.62</v>
      </c>
      <c r="E484" s="283">
        <v>4095.72</v>
      </c>
      <c r="G484" s="265">
        <v>275.18</v>
      </c>
      <c r="H484" s="265">
        <v>275.18</v>
      </c>
      <c r="I484" s="265">
        <v>275.18</v>
      </c>
      <c r="J484" s="265">
        <v>275.18</v>
      </c>
      <c r="K484" s="265">
        <v>275.18</v>
      </c>
      <c r="L484" s="265">
        <v>275.18</v>
      </c>
      <c r="M484" s="265">
        <v>0</v>
      </c>
      <c r="N484" s="265">
        <v>0</v>
      </c>
      <c r="O484" s="265">
        <v>0</v>
      </c>
      <c r="P484" s="265">
        <v>0</v>
      </c>
      <c r="Q484" s="265">
        <v>0</v>
      </c>
      <c r="R484" s="274">
        <v>0</v>
      </c>
      <c r="S484" s="265">
        <f t="shared" si="137"/>
        <v>1651.0800000000002</v>
      </c>
      <c r="T484" s="265">
        <v>4500</v>
      </c>
      <c r="U484" s="265">
        <f t="shared" si="138"/>
        <v>2848.92</v>
      </c>
      <c r="V484" s="262">
        <f t="shared" si="139"/>
        <v>0.36690666666666671</v>
      </c>
      <c r="W484" s="263"/>
    </row>
    <row r="485" spans="1:23" ht="15.75" thickBot="1" x14ac:dyDescent="0.3">
      <c r="D485" s="363">
        <v>810726.72</v>
      </c>
      <c r="E485" s="273">
        <v>719506.82000000007</v>
      </c>
      <c r="F485" s="350"/>
      <c r="G485" s="273">
        <f t="shared" ref="G485:S485" si="140">SUM(G479:G484)</f>
        <v>68997.899999999994</v>
      </c>
      <c r="H485" s="273">
        <f t="shared" si="140"/>
        <v>71306</v>
      </c>
      <c r="I485" s="273">
        <f t="shared" si="140"/>
        <v>69922.78</v>
      </c>
      <c r="J485" s="273">
        <f t="shared" si="140"/>
        <v>69832.950000000055</v>
      </c>
      <c r="K485" s="273">
        <f t="shared" si="140"/>
        <v>68718.379999999961</v>
      </c>
      <c r="L485" s="273">
        <f t="shared" si="140"/>
        <v>69840.460000000006</v>
      </c>
      <c r="M485" s="273">
        <f t="shared" si="140"/>
        <v>0</v>
      </c>
      <c r="N485" s="273">
        <f t="shared" si="140"/>
        <v>0</v>
      </c>
      <c r="O485" s="273">
        <f t="shared" si="140"/>
        <v>0</v>
      </c>
      <c r="P485" s="273">
        <f t="shared" si="140"/>
        <v>0</v>
      </c>
      <c r="Q485" s="273">
        <f t="shared" si="140"/>
        <v>0</v>
      </c>
      <c r="R485" s="273">
        <f t="shared" si="140"/>
        <v>0</v>
      </c>
      <c r="S485" s="273">
        <f t="shared" si="140"/>
        <v>418618.47000000003</v>
      </c>
      <c r="T485" s="273">
        <f>SUM(T479:T484)</f>
        <v>755500</v>
      </c>
      <c r="U485" s="273">
        <f>SUM(U479:U484)</f>
        <v>336881.52999999997</v>
      </c>
      <c r="V485" s="272">
        <f t="shared" si="139"/>
        <v>0.55409459960291196</v>
      </c>
    </row>
    <row r="486" spans="1:23" ht="15.75" thickTop="1" x14ac:dyDescent="0.25">
      <c r="A486" t="s">
        <v>174</v>
      </c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W486" s="263"/>
    </row>
    <row r="487" spans="1:23" x14ac:dyDescent="0.25">
      <c r="B487" t="s">
        <v>299</v>
      </c>
      <c r="C487" t="s">
        <v>256</v>
      </c>
      <c r="D487" s="283">
        <v>13151.38</v>
      </c>
      <c r="E487" s="283">
        <v>15000</v>
      </c>
      <c r="G487" s="265">
        <v>1935.8900000000003</v>
      </c>
      <c r="H487" s="265">
        <v>143.37</v>
      </c>
      <c r="I487" s="265">
        <v>841.37</v>
      </c>
      <c r="J487" s="265">
        <v>134.82</v>
      </c>
      <c r="K487" s="265">
        <v>118.86</v>
      </c>
      <c r="L487" s="265">
        <v>758.71</v>
      </c>
      <c r="M487" s="265">
        <v>0</v>
      </c>
      <c r="N487" s="265">
        <v>0</v>
      </c>
      <c r="O487" s="265">
        <v>0</v>
      </c>
      <c r="P487" s="265">
        <v>0</v>
      </c>
      <c r="Q487" s="265">
        <v>0</v>
      </c>
      <c r="R487" s="274">
        <v>0</v>
      </c>
      <c r="S487" s="265">
        <f t="shared" ref="S487:S501" si="141">SUM(G487:R487)</f>
        <v>3933.0200000000004</v>
      </c>
      <c r="T487" s="265">
        <v>15000</v>
      </c>
      <c r="U487" s="265">
        <f t="shared" ref="U487:U501" si="142">T487-S487</f>
        <v>11066.98</v>
      </c>
      <c r="V487" s="262">
        <f t="shared" ref="V487:V502" si="143">S487/T487</f>
        <v>0.26220133333333334</v>
      </c>
      <c r="W487" s="263"/>
    </row>
    <row r="488" spans="1:23" x14ac:dyDescent="0.25">
      <c r="B488" t="s">
        <v>298</v>
      </c>
      <c r="C488" t="s">
        <v>297</v>
      </c>
      <c r="D488" s="283">
        <v>4728.5</v>
      </c>
      <c r="E488" s="283">
        <v>6000</v>
      </c>
      <c r="G488" s="265">
        <v>656</v>
      </c>
      <c r="H488" s="265">
        <v>694</v>
      </c>
      <c r="I488" s="265">
        <v>296</v>
      </c>
      <c r="J488" s="265">
        <v>926</v>
      </c>
      <c r="K488" s="265">
        <v>0</v>
      </c>
      <c r="L488" s="265">
        <v>0</v>
      </c>
      <c r="M488" s="265">
        <v>0</v>
      </c>
      <c r="N488" s="265">
        <v>0</v>
      </c>
      <c r="O488" s="265">
        <v>0</v>
      </c>
      <c r="P488" s="265">
        <v>0</v>
      </c>
      <c r="Q488" s="265">
        <v>0</v>
      </c>
      <c r="R488" s="274">
        <v>0</v>
      </c>
      <c r="S488" s="265">
        <f t="shared" si="141"/>
        <v>2572</v>
      </c>
      <c r="T488" s="265">
        <v>6000</v>
      </c>
      <c r="U488" s="265">
        <f t="shared" si="142"/>
        <v>3428</v>
      </c>
      <c r="V488" s="262">
        <f t="shared" si="143"/>
        <v>0.42866666666666664</v>
      </c>
      <c r="W488" s="263"/>
    </row>
    <row r="489" spans="1:23" x14ac:dyDescent="0.25">
      <c r="B489" t="s">
        <v>296</v>
      </c>
      <c r="C489" t="s">
        <v>295</v>
      </c>
      <c r="D489" s="283">
        <v>2180.3200000000002</v>
      </c>
      <c r="E489" s="283">
        <v>3000</v>
      </c>
      <c r="G489" s="265">
        <v>2700</v>
      </c>
      <c r="H489" s="265">
        <v>0</v>
      </c>
      <c r="I489" s="265">
        <v>0</v>
      </c>
      <c r="J489" s="265">
        <v>0</v>
      </c>
      <c r="K489" s="265">
        <v>0</v>
      </c>
      <c r="L489" s="265">
        <v>0</v>
      </c>
      <c r="M489" s="265">
        <v>0</v>
      </c>
      <c r="N489" s="265">
        <v>0</v>
      </c>
      <c r="O489" s="265">
        <v>0</v>
      </c>
      <c r="P489" s="265">
        <v>0</v>
      </c>
      <c r="Q489" s="265">
        <v>0</v>
      </c>
      <c r="R489" s="274">
        <v>0</v>
      </c>
      <c r="S489" s="265">
        <f t="shared" si="141"/>
        <v>2700</v>
      </c>
      <c r="T489" s="265">
        <v>3000</v>
      </c>
      <c r="U489" s="265">
        <f t="shared" si="142"/>
        <v>300</v>
      </c>
      <c r="V489" s="262">
        <f t="shared" si="143"/>
        <v>0.9</v>
      </c>
      <c r="W489" s="263"/>
    </row>
    <row r="490" spans="1:23" x14ac:dyDescent="0.25">
      <c r="A490" t="s">
        <v>55</v>
      </c>
      <c r="B490" t="s">
        <v>294</v>
      </c>
      <c r="C490" t="s">
        <v>168</v>
      </c>
      <c r="D490" s="283">
        <v>54881.63</v>
      </c>
      <c r="E490" s="283">
        <v>55000</v>
      </c>
      <c r="G490" s="265">
        <v>164.82999999999993</v>
      </c>
      <c r="H490" s="265">
        <v>10378.15</v>
      </c>
      <c r="I490" s="265">
        <v>1122.6899999999998</v>
      </c>
      <c r="J490" s="265">
        <v>1036.3900000000001</v>
      </c>
      <c r="K490" s="265">
        <v>0</v>
      </c>
      <c r="L490" s="265">
        <v>8195.14</v>
      </c>
      <c r="M490" s="274">
        <v>0</v>
      </c>
      <c r="N490" s="265">
        <v>0</v>
      </c>
      <c r="O490" s="265">
        <v>0</v>
      </c>
      <c r="P490" s="265">
        <v>0</v>
      </c>
      <c r="Q490" s="265">
        <v>0</v>
      </c>
      <c r="R490" s="274">
        <v>0</v>
      </c>
      <c r="S490" s="265">
        <f t="shared" si="141"/>
        <v>20897.199999999997</v>
      </c>
      <c r="T490" s="265">
        <v>55000</v>
      </c>
      <c r="U490" s="265">
        <f t="shared" si="142"/>
        <v>34102.800000000003</v>
      </c>
      <c r="V490" s="262">
        <f t="shared" si="143"/>
        <v>0.37994909090909085</v>
      </c>
      <c r="W490" s="263"/>
    </row>
    <row r="491" spans="1:23" x14ac:dyDescent="0.25">
      <c r="A491" t="s">
        <v>55</v>
      </c>
      <c r="B491" t="s">
        <v>293</v>
      </c>
      <c r="C491" t="s">
        <v>292</v>
      </c>
      <c r="D491" s="283">
        <v>47007.5</v>
      </c>
      <c r="E491" s="283">
        <v>50000</v>
      </c>
      <c r="G491" s="265">
        <v>604.73</v>
      </c>
      <c r="H491" s="265">
        <v>2617.5500000000002</v>
      </c>
      <c r="I491" s="265">
        <v>5030.7099999999991</v>
      </c>
      <c r="J491" s="265">
        <v>1550.71</v>
      </c>
      <c r="K491" s="265">
        <v>513.46</v>
      </c>
      <c r="L491" s="265">
        <v>1267.92</v>
      </c>
      <c r="M491" s="274">
        <v>0</v>
      </c>
      <c r="N491" s="265">
        <v>0</v>
      </c>
      <c r="O491" s="265">
        <v>0</v>
      </c>
      <c r="P491" s="265">
        <v>0</v>
      </c>
      <c r="Q491" s="265">
        <v>0</v>
      </c>
      <c r="R491" s="274">
        <v>0</v>
      </c>
      <c r="S491" s="265">
        <f t="shared" si="141"/>
        <v>11585.08</v>
      </c>
      <c r="T491" s="265">
        <v>36000</v>
      </c>
      <c r="U491" s="265">
        <f t="shared" si="142"/>
        <v>24414.92</v>
      </c>
      <c r="V491" s="262">
        <f t="shared" si="143"/>
        <v>0.32180777777777775</v>
      </c>
      <c r="W491" s="263"/>
    </row>
    <row r="492" spans="1:23" x14ac:dyDescent="0.25">
      <c r="A492" t="s">
        <v>55</v>
      </c>
      <c r="B492" t="s">
        <v>291</v>
      </c>
      <c r="C492" t="s">
        <v>166</v>
      </c>
      <c r="D492" s="283">
        <v>10337.98</v>
      </c>
      <c r="E492" s="283">
        <v>10000</v>
      </c>
      <c r="G492" s="265">
        <v>366.5</v>
      </c>
      <c r="H492" s="265">
        <v>1935.38</v>
      </c>
      <c r="I492" s="265">
        <v>2814.31</v>
      </c>
      <c r="J492" s="265">
        <v>1842.52</v>
      </c>
      <c r="K492" s="265">
        <v>607.82999999999879</v>
      </c>
      <c r="L492" s="265">
        <v>391.09</v>
      </c>
      <c r="M492" s="274">
        <v>0</v>
      </c>
      <c r="N492" s="265">
        <v>0</v>
      </c>
      <c r="O492" s="265">
        <v>0</v>
      </c>
      <c r="P492" s="265">
        <v>0</v>
      </c>
      <c r="Q492" s="265">
        <v>0</v>
      </c>
      <c r="R492" s="274">
        <v>0</v>
      </c>
      <c r="S492" s="265">
        <f t="shared" si="141"/>
        <v>7957.63</v>
      </c>
      <c r="T492" s="265">
        <v>10000</v>
      </c>
      <c r="U492" s="265">
        <f t="shared" si="142"/>
        <v>2042.37</v>
      </c>
      <c r="V492" s="262">
        <f t="shared" si="143"/>
        <v>0.795763</v>
      </c>
      <c r="W492" s="263"/>
    </row>
    <row r="493" spans="1:23" x14ac:dyDescent="0.25">
      <c r="A493" t="s">
        <v>55</v>
      </c>
      <c r="B493" t="s">
        <v>290</v>
      </c>
      <c r="C493" t="s">
        <v>289</v>
      </c>
      <c r="D493" s="283">
        <v>0</v>
      </c>
      <c r="E493" s="283">
        <v>250</v>
      </c>
      <c r="G493" s="265">
        <v>0</v>
      </c>
      <c r="H493" s="265">
        <v>0</v>
      </c>
      <c r="I493" s="265">
        <v>0</v>
      </c>
      <c r="J493" s="265">
        <v>0</v>
      </c>
      <c r="K493" s="265">
        <v>0</v>
      </c>
      <c r="L493" s="265">
        <v>0</v>
      </c>
      <c r="M493" s="274">
        <v>0</v>
      </c>
      <c r="N493" s="265">
        <v>0</v>
      </c>
      <c r="O493" s="265">
        <v>0</v>
      </c>
      <c r="P493" s="265">
        <v>0</v>
      </c>
      <c r="Q493" s="265">
        <v>0</v>
      </c>
      <c r="R493" s="274">
        <v>0</v>
      </c>
      <c r="S493" s="265">
        <f t="shared" si="141"/>
        <v>0</v>
      </c>
      <c r="T493" s="265">
        <v>250</v>
      </c>
      <c r="U493" s="265">
        <f t="shared" si="142"/>
        <v>250</v>
      </c>
      <c r="V493" s="262">
        <f t="shared" si="143"/>
        <v>0</v>
      </c>
      <c r="W493" s="263"/>
    </row>
    <row r="494" spans="1:23" x14ac:dyDescent="0.25">
      <c r="A494" t="s">
        <v>55</v>
      </c>
      <c r="B494" t="s">
        <v>288</v>
      </c>
      <c r="C494" t="s">
        <v>287</v>
      </c>
      <c r="D494" s="283">
        <v>100.82</v>
      </c>
      <c r="E494" s="283">
        <v>750</v>
      </c>
      <c r="G494" s="265">
        <v>0</v>
      </c>
      <c r="H494" s="265">
        <v>0</v>
      </c>
      <c r="I494" s="265">
        <v>0</v>
      </c>
      <c r="J494" s="265">
        <v>0</v>
      </c>
      <c r="K494" s="265">
        <v>0</v>
      </c>
      <c r="L494" s="265">
        <v>0</v>
      </c>
      <c r="M494" s="265">
        <v>0</v>
      </c>
      <c r="N494" s="265">
        <v>0</v>
      </c>
      <c r="O494" s="265">
        <v>0</v>
      </c>
      <c r="P494" s="265">
        <v>0</v>
      </c>
      <c r="Q494" s="265">
        <v>0</v>
      </c>
      <c r="R494" s="274">
        <v>0</v>
      </c>
      <c r="S494" s="265">
        <f t="shared" si="141"/>
        <v>0</v>
      </c>
      <c r="T494" s="265">
        <v>750</v>
      </c>
      <c r="U494" s="265">
        <f t="shared" si="142"/>
        <v>750</v>
      </c>
      <c r="V494" s="262">
        <f t="shared" si="143"/>
        <v>0</v>
      </c>
      <c r="W494" s="263"/>
    </row>
    <row r="495" spans="1:23" x14ac:dyDescent="0.25">
      <c r="A495" t="s">
        <v>55</v>
      </c>
      <c r="B495" t="s">
        <v>286</v>
      </c>
      <c r="C495" t="s">
        <v>285</v>
      </c>
      <c r="D495" s="283">
        <v>2324.67</v>
      </c>
      <c r="E495" s="283">
        <v>5000</v>
      </c>
      <c r="G495" s="265">
        <v>0</v>
      </c>
      <c r="H495" s="265">
        <v>0</v>
      </c>
      <c r="I495" s="265">
        <v>0</v>
      </c>
      <c r="J495" s="265">
        <v>2040</v>
      </c>
      <c r="K495" s="265">
        <v>0</v>
      </c>
      <c r="L495" s="265">
        <v>0</v>
      </c>
      <c r="M495" s="265">
        <v>0</v>
      </c>
      <c r="N495" s="265">
        <v>0</v>
      </c>
      <c r="O495" s="265">
        <v>0</v>
      </c>
      <c r="P495" s="265">
        <v>0</v>
      </c>
      <c r="Q495" s="265">
        <v>0</v>
      </c>
      <c r="R495" s="274">
        <v>0</v>
      </c>
      <c r="S495" s="265">
        <f t="shared" si="141"/>
        <v>2040</v>
      </c>
      <c r="T495" s="265">
        <v>3000</v>
      </c>
      <c r="U495" s="265">
        <f t="shared" si="142"/>
        <v>960</v>
      </c>
      <c r="V495" s="262">
        <f t="shared" si="143"/>
        <v>0.68</v>
      </c>
      <c r="W495" s="263"/>
    </row>
    <row r="496" spans="1:23" x14ac:dyDescent="0.25">
      <c r="A496" t="s">
        <v>55</v>
      </c>
      <c r="B496" t="s">
        <v>284</v>
      </c>
      <c r="C496" t="s">
        <v>162</v>
      </c>
      <c r="D496" s="283">
        <v>6220.7</v>
      </c>
      <c r="E496" s="283">
        <v>8000</v>
      </c>
      <c r="G496" s="265">
        <v>1447.86</v>
      </c>
      <c r="H496" s="265">
        <v>121.66</v>
      </c>
      <c r="I496" s="265">
        <v>445</v>
      </c>
      <c r="J496" s="265">
        <v>484.13</v>
      </c>
      <c r="K496" s="265">
        <v>2778.66</v>
      </c>
      <c r="L496" s="265">
        <v>434.61</v>
      </c>
      <c r="M496" s="265">
        <v>0</v>
      </c>
      <c r="N496" s="265">
        <v>0</v>
      </c>
      <c r="O496" s="265">
        <v>0</v>
      </c>
      <c r="P496" s="265">
        <v>0</v>
      </c>
      <c r="Q496" s="265">
        <v>0</v>
      </c>
      <c r="R496" s="274">
        <v>0</v>
      </c>
      <c r="S496" s="265">
        <f t="shared" si="141"/>
        <v>5711.9199999999992</v>
      </c>
      <c r="T496" s="265">
        <v>8000</v>
      </c>
      <c r="U496" s="265">
        <f t="shared" si="142"/>
        <v>2288.0800000000008</v>
      </c>
      <c r="V496" s="262">
        <f t="shared" si="143"/>
        <v>0.7139899999999999</v>
      </c>
      <c r="W496" s="263"/>
    </row>
    <row r="497" spans="1:23" x14ac:dyDescent="0.25">
      <c r="A497" t="s">
        <v>55</v>
      </c>
      <c r="B497" t="s">
        <v>283</v>
      </c>
      <c r="C497" t="s">
        <v>282</v>
      </c>
      <c r="D497" s="283">
        <v>2821.85</v>
      </c>
      <c r="E497" s="283">
        <v>5000</v>
      </c>
      <c r="G497" s="265">
        <v>281.95</v>
      </c>
      <c r="H497" s="265">
        <v>145.94999999999999</v>
      </c>
      <c r="I497" s="265">
        <v>211.64</v>
      </c>
      <c r="J497" s="265">
        <v>198.00000000000023</v>
      </c>
      <c r="K497" s="265">
        <v>316.08999999999997</v>
      </c>
      <c r="L497" s="265">
        <v>23.86</v>
      </c>
      <c r="M497" s="265">
        <v>0</v>
      </c>
      <c r="N497" s="265">
        <v>0</v>
      </c>
      <c r="O497" s="265">
        <v>0</v>
      </c>
      <c r="P497" s="265">
        <v>0</v>
      </c>
      <c r="Q497" s="265">
        <v>0</v>
      </c>
      <c r="R497" s="274">
        <v>0</v>
      </c>
      <c r="S497" s="265">
        <f t="shared" si="141"/>
        <v>1177.49</v>
      </c>
      <c r="T497" s="265">
        <v>5000</v>
      </c>
      <c r="U497" s="265">
        <f t="shared" si="142"/>
        <v>3822.51</v>
      </c>
      <c r="V497" s="262">
        <f t="shared" si="143"/>
        <v>0.23549800000000001</v>
      </c>
      <c r="W497" s="263"/>
    </row>
    <row r="498" spans="1:23" x14ac:dyDescent="0.25">
      <c r="A498" t="s">
        <v>55</v>
      </c>
      <c r="B498" t="s">
        <v>281</v>
      </c>
      <c r="C498" t="s">
        <v>280</v>
      </c>
      <c r="D498" s="283">
        <v>0</v>
      </c>
      <c r="E498" s="283">
        <v>2500</v>
      </c>
      <c r="G498" s="265">
        <v>0</v>
      </c>
      <c r="H498" s="265">
        <v>0</v>
      </c>
      <c r="I498" s="265">
        <v>0</v>
      </c>
      <c r="J498" s="265">
        <v>0</v>
      </c>
      <c r="K498" s="265">
        <v>0</v>
      </c>
      <c r="L498" s="265">
        <v>0</v>
      </c>
      <c r="M498" s="265">
        <v>0</v>
      </c>
      <c r="N498" s="265">
        <v>0</v>
      </c>
      <c r="O498" s="265">
        <v>0</v>
      </c>
      <c r="P498" s="265">
        <v>0</v>
      </c>
      <c r="Q498" s="265">
        <v>0</v>
      </c>
      <c r="R498" s="274">
        <v>0</v>
      </c>
      <c r="S498" s="265">
        <f t="shared" si="141"/>
        <v>0</v>
      </c>
      <c r="T498" s="265">
        <v>2500</v>
      </c>
      <c r="U498" s="265">
        <f t="shared" si="142"/>
        <v>2500</v>
      </c>
      <c r="V498" s="262">
        <f t="shared" si="143"/>
        <v>0</v>
      </c>
      <c r="W498" s="263"/>
    </row>
    <row r="499" spans="1:23" x14ac:dyDescent="0.25">
      <c r="A499" t="s">
        <v>55</v>
      </c>
      <c r="B499" t="s">
        <v>279</v>
      </c>
      <c r="C499" t="s">
        <v>278</v>
      </c>
      <c r="D499" s="283">
        <v>1370.04</v>
      </c>
      <c r="E499" s="283">
        <v>2500</v>
      </c>
      <c r="G499" s="265">
        <v>0</v>
      </c>
      <c r="H499" s="265">
        <v>355.04</v>
      </c>
      <c r="I499" s="265">
        <v>161.06</v>
      </c>
      <c r="J499" s="265">
        <v>65.98</v>
      </c>
      <c r="K499" s="265">
        <v>0</v>
      </c>
      <c r="L499" s="265">
        <v>0</v>
      </c>
      <c r="M499" s="265">
        <v>0</v>
      </c>
      <c r="N499" s="265">
        <v>0</v>
      </c>
      <c r="O499" s="265">
        <v>0</v>
      </c>
      <c r="P499" s="265">
        <v>0</v>
      </c>
      <c r="Q499" s="265">
        <v>0</v>
      </c>
      <c r="R499" s="274">
        <v>0</v>
      </c>
      <c r="S499" s="265">
        <f t="shared" si="141"/>
        <v>582.08000000000004</v>
      </c>
      <c r="T499" s="265">
        <v>2500</v>
      </c>
      <c r="U499" s="265">
        <f t="shared" si="142"/>
        <v>1917.92</v>
      </c>
      <c r="V499" s="262">
        <f t="shared" si="143"/>
        <v>0.23283200000000001</v>
      </c>
      <c r="W499" s="263"/>
    </row>
    <row r="500" spans="1:23" x14ac:dyDescent="0.25">
      <c r="A500" t="s">
        <v>55</v>
      </c>
      <c r="B500" t="s">
        <v>277</v>
      </c>
      <c r="C500" t="s">
        <v>276</v>
      </c>
      <c r="D500" s="283">
        <v>18608.080000000002</v>
      </c>
      <c r="E500" s="283">
        <v>20000</v>
      </c>
      <c r="G500" s="265">
        <v>1340.87</v>
      </c>
      <c r="H500" s="265">
        <f>642.23+1525.66</f>
        <v>2167.8900000000003</v>
      </c>
      <c r="I500" s="265">
        <v>1684.4900000000002</v>
      </c>
      <c r="J500" s="265">
        <v>2078.37</v>
      </c>
      <c r="K500" s="265">
        <v>1093.25</v>
      </c>
      <c r="L500" s="265">
        <v>1128.6600000000001</v>
      </c>
      <c r="M500" s="265">
        <v>0</v>
      </c>
      <c r="N500" s="265">
        <v>0</v>
      </c>
      <c r="O500" s="265">
        <v>0</v>
      </c>
      <c r="P500" s="265">
        <v>0</v>
      </c>
      <c r="Q500" s="265">
        <v>0</v>
      </c>
      <c r="R500" s="274">
        <v>0</v>
      </c>
      <c r="S500" s="265">
        <f t="shared" si="141"/>
        <v>9493.5299999999988</v>
      </c>
      <c r="T500" s="265">
        <v>20000</v>
      </c>
      <c r="U500" s="265">
        <f t="shared" si="142"/>
        <v>10506.470000000001</v>
      </c>
      <c r="V500" s="262">
        <f t="shared" si="143"/>
        <v>0.47467649999999995</v>
      </c>
      <c r="W500" s="263"/>
    </row>
    <row r="501" spans="1:23" x14ac:dyDescent="0.25">
      <c r="A501" t="s">
        <v>55</v>
      </c>
      <c r="B501" t="s">
        <v>275</v>
      </c>
      <c r="C501" t="s">
        <v>274</v>
      </c>
      <c r="D501" s="283">
        <v>9683.9699999999993</v>
      </c>
      <c r="E501" s="283">
        <v>2500</v>
      </c>
      <c r="G501" s="265">
        <v>0</v>
      </c>
      <c r="H501" s="265">
        <v>0</v>
      </c>
      <c r="I501" s="265">
        <v>0</v>
      </c>
      <c r="J501" s="265">
        <v>1662.77</v>
      </c>
      <c r="K501" s="265">
        <v>0</v>
      </c>
      <c r="L501" s="265">
        <v>0</v>
      </c>
      <c r="M501" s="265">
        <v>0</v>
      </c>
      <c r="N501" s="265">
        <v>0</v>
      </c>
      <c r="O501" s="265">
        <v>0</v>
      </c>
      <c r="P501" s="265">
        <v>0</v>
      </c>
      <c r="Q501" s="265">
        <v>0</v>
      </c>
      <c r="R501" s="274">
        <v>0</v>
      </c>
      <c r="S501" s="265">
        <f t="shared" si="141"/>
        <v>1662.77</v>
      </c>
      <c r="T501" s="265">
        <v>2500</v>
      </c>
      <c r="U501" s="265">
        <f t="shared" si="142"/>
        <v>837.23</v>
      </c>
      <c r="V501" s="262">
        <f t="shared" si="143"/>
        <v>0.66510800000000003</v>
      </c>
    </row>
    <row r="502" spans="1:23" ht="15.75" thickBot="1" x14ac:dyDescent="0.3">
      <c r="D502" s="363">
        <v>173417.44000000003</v>
      </c>
      <c r="E502" s="273">
        <v>185500</v>
      </c>
      <c r="F502" s="350"/>
      <c r="G502" s="273">
        <f t="shared" ref="G502:S502" si="144">SUM(G487:G501)</f>
        <v>9498.630000000001</v>
      </c>
      <c r="H502" s="273">
        <f t="shared" si="144"/>
        <v>18558.990000000002</v>
      </c>
      <c r="I502" s="273">
        <f t="shared" si="144"/>
        <v>12607.269999999997</v>
      </c>
      <c r="J502" s="273">
        <f t="shared" si="144"/>
        <v>12019.690000000002</v>
      </c>
      <c r="K502" s="273">
        <f t="shared" si="144"/>
        <v>5428.1499999999987</v>
      </c>
      <c r="L502" s="273">
        <f t="shared" si="144"/>
        <v>12199.99</v>
      </c>
      <c r="M502" s="273">
        <f t="shared" si="144"/>
        <v>0</v>
      </c>
      <c r="N502" s="273">
        <f t="shared" si="144"/>
        <v>0</v>
      </c>
      <c r="O502" s="273">
        <f t="shared" si="144"/>
        <v>0</v>
      </c>
      <c r="P502" s="273">
        <f t="shared" si="144"/>
        <v>0</v>
      </c>
      <c r="Q502" s="273">
        <f t="shared" si="144"/>
        <v>0</v>
      </c>
      <c r="R502" s="273">
        <f t="shared" si="144"/>
        <v>0</v>
      </c>
      <c r="S502" s="273">
        <f t="shared" si="144"/>
        <v>70312.719999999987</v>
      </c>
      <c r="T502" s="273">
        <f>SUM(T487:T501)</f>
        <v>169500</v>
      </c>
      <c r="U502" s="273">
        <f>SUM(U487:U501)</f>
        <v>99187.279999999984</v>
      </c>
      <c r="V502" s="272">
        <f t="shared" si="143"/>
        <v>0.4148243067846607</v>
      </c>
    </row>
    <row r="503" spans="1:23" ht="15.75" thickTop="1" x14ac:dyDescent="0.25">
      <c r="A503" t="s">
        <v>145</v>
      </c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W503" s="263"/>
    </row>
    <row r="504" spans="1:23" x14ac:dyDescent="0.25">
      <c r="A504" t="s">
        <v>55</v>
      </c>
      <c r="B504" t="s">
        <v>273</v>
      </c>
      <c r="C504" t="s">
        <v>272</v>
      </c>
      <c r="D504" s="283">
        <v>64893.88</v>
      </c>
      <c r="E504" s="283">
        <v>65000</v>
      </c>
      <c r="G504" s="265">
        <v>0</v>
      </c>
      <c r="H504" s="265">
        <v>0</v>
      </c>
      <c r="I504" s="265">
        <v>0</v>
      </c>
      <c r="J504" s="265">
        <v>0</v>
      </c>
      <c r="K504" s="265">
        <v>59610</v>
      </c>
      <c r="L504" s="265">
        <v>0</v>
      </c>
      <c r="M504" s="265">
        <v>0</v>
      </c>
      <c r="N504" s="265">
        <v>0</v>
      </c>
      <c r="O504" s="265">
        <v>0</v>
      </c>
      <c r="P504" s="265">
        <v>0</v>
      </c>
      <c r="Q504" s="265">
        <v>0</v>
      </c>
      <c r="R504" s="274">
        <v>0</v>
      </c>
      <c r="S504" s="265">
        <f t="shared" ref="S504:S509" si="145">SUM(G504:R504)</f>
        <v>59610</v>
      </c>
      <c r="T504" s="265">
        <v>65000</v>
      </c>
      <c r="U504" s="265">
        <f t="shared" ref="U504:U509" si="146">T504-S504</f>
        <v>5390</v>
      </c>
      <c r="V504" s="262">
        <f t="shared" ref="V504:V510" si="147">S504/T504</f>
        <v>0.91707692307692312</v>
      </c>
      <c r="W504" s="263"/>
    </row>
    <row r="505" spans="1:23" x14ac:dyDescent="0.25">
      <c r="A505" t="s">
        <v>55</v>
      </c>
      <c r="B505" t="s">
        <v>271</v>
      </c>
      <c r="C505" t="s">
        <v>270</v>
      </c>
      <c r="D505" s="283">
        <v>5779.76</v>
      </c>
      <c r="E505" s="283">
        <v>6000</v>
      </c>
      <c r="G505" s="265">
        <v>190.60000000000002</v>
      </c>
      <c r="H505" s="265">
        <v>188.12</v>
      </c>
      <c r="I505" s="265">
        <v>655.08000000000004</v>
      </c>
      <c r="J505" s="265">
        <v>174.72</v>
      </c>
      <c r="K505" s="265">
        <v>356.61</v>
      </c>
      <c r="L505" s="265">
        <v>257.17</v>
      </c>
      <c r="M505" s="265">
        <v>0</v>
      </c>
      <c r="N505" s="265">
        <v>0</v>
      </c>
      <c r="O505" s="265">
        <v>0</v>
      </c>
      <c r="P505" s="265">
        <v>0</v>
      </c>
      <c r="Q505" s="265">
        <v>0</v>
      </c>
      <c r="R505" s="274">
        <v>0</v>
      </c>
      <c r="S505" s="265">
        <f t="shared" si="145"/>
        <v>1822.3000000000002</v>
      </c>
      <c r="T505" s="265">
        <v>6000</v>
      </c>
      <c r="U505" s="265">
        <f t="shared" si="146"/>
        <v>4177.7</v>
      </c>
      <c r="V505" s="262">
        <f t="shared" si="147"/>
        <v>0.30371666666666669</v>
      </c>
      <c r="W505" s="263"/>
    </row>
    <row r="506" spans="1:23" x14ac:dyDescent="0.25">
      <c r="A506" t="s">
        <v>55</v>
      </c>
      <c r="B506" t="s">
        <v>269</v>
      </c>
      <c r="C506" t="s">
        <v>141</v>
      </c>
      <c r="D506" s="283">
        <v>14709.69</v>
      </c>
      <c r="E506" s="283">
        <v>15000</v>
      </c>
      <c r="G506" s="265">
        <v>427.69999999999982</v>
      </c>
      <c r="H506" s="265">
        <v>6261.1</v>
      </c>
      <c r="I506" s="265">
        <v>0</v>
      </c>
      <c r="J506" s="265">
        <v>0</v>
      </c>
      <c r="K506" s="265">
        <v>3537.5</v>
      </c>
      <c r="L506" s="265">
        <v>0</v>
      </c>
      <c r="M506" s="265">
        <v>0</v>
      </c>
      <c r="N506" s="265">
        <v>0</v>
      </c>
      <c r="O506" s="265">
        <v>0</v>
      </c>
      <c r="P506" s="265">
        <v>0</v>
      </c>
      <c r="Q506" s="265">
        <v>0</v>
      </c>
      <c r="R506" s="274">
        <v>0</v>
      </c>
      <c r="S506" s="265">
        <f t="shared" si="145"/>
        <v>10226.299999999999</v>
      </c>
      <c r="T506" s="265">
        <v>15000</v>
      </c>
      <c r="U506" s="265">
        <f t="shared" si="146"/>
        <v>4773.7000000000007</v>
      </c>
      <c r="V506" s="262">
        <f t="shared" si="147"/>
        <v>0.68175333333333332</v>
      </c>
      <c r="W506" s="263"/>
    </row>
    <row r="507" spans="1:23" x14ac:dyDescent="0.25">
      <c r="A507" t="s">
        <v>55</v>
      </c>
      <c r="B507" t="s">
        <v>893</v>
      </c>
      <c r="C507" t="s">
        <v>268</v>
      </c>
      <c r="D507" s="283">
        <v>12661.27</v>
      </c>
      <c r="E507" s="283">
        <v>23000</v>
      </c>
      <c r="G507" s="265">
        <v>620.52</v>
      </c>
      <c r="H507" s="265">
        <v>0</v>
      </c>
      <c r="I507" s="265">
        <v>0</v>
      </c>
      <c r="J507" s="265">
        <v>0</v>
      </c>
      <c r="K507" s="265">
        <v>0</v>
      </c>
      <c r="L507" s="265">
        <v>5406.83</v>
      </c>
      <c r="M507" s="265">
        <v>0</v>
      </c>
      <c r="N507" s="265">
        <v>0</v>
      </c>
      <c r="O507" s="265">
        <v>0</v>
      </c>
      <c r="P507" s="265">
        <v>0</v>
      </c>
      <c r="Q507" s="265">
        <v>0</v>
      </c>
      <c r="R507" s="274">
        <v>0</v>
      </c>
      <c r="S507" s="265">
        <f t="shared" si="145"/>
        <v>6027.35</v>
      </c>
      <c r="T507" s="265">
        <v>23000</v>
      </c>
      <c r="U507" s="265">
        <f t="shared" si="146"/>
        <v>16972.650000000001</v>
      </c>
      <c r="V507" s="262">
        <f t="shared" si="147"/>
        <v>0.26205869565217393</v>
      </c>
      <c r="W507" s="263"/>
    </row>
    <row r="508" spans="1:23" x14ac:dyDescent="0.25">
      <c r="B508" t="s">
        <v>894</v>
      </c>
      <c r="C508" t="s">
        <v>895</v>
      </c>
      <c r="D508" s="283">
        <v>0</v>
      </c>
      <c r="E508" s="283">
        <v>0</v>
      </c>
      <c r="G508" s="265">
        <v>0</v>
      </c>
      <c r="H508" s="265">
        <v>0</v>
      </c>
      <c r="I508" s="265">
        <v>0</v>
      </c>
      <c r="J508" s="265">
        <v>0</v>
      </c>
      <c r="K508" s="265">
        <v>0</v>
      </c>
      <c r="L508" s="265">
        <v>0</v>
      </c>
      <c r="M508" s="265">
        <v>0</v>
      </c>
      <c r="N508" s="265">
        <v>0</v>
      </c>
      <c r="O508" s="265">
        <v>0</v>
      </c>
      <c r="P508" s="265">
        <v>0</v>
      </c>
      <c r="Q508" s="265">
        <v>0</v>
      </c>
      <c r="R508" s="274">
        <v>0</v>
      </c>
      <c r="S508" s="265">
        <f t="shared" si="145"/>
        <v>0</v>
      </c>
      <c r="T508" s="265">
        <v>12000</v>
      </c>
      <c r="U508" s="265">
        <f t="shared" si="146"/>
        <v>12000</v>
      </c>
      <c r="V508" s="262">
        <f t="shared" si="147"/>
        <v>0</v>
      </c>
      <c r="W508" s="263"/>
    </row>
    <row r="509" spans="1:23" x14ac:dyDescent="0.25">
      <c r="A509" t="s">
        <v>55</v>
      </c>
      <c r="B509" t="s">
        <v>267</v>
      </c>
      <c r="C509" t="s">
        <v>266</v>
      </c>
      <c r="D509" s="283">
        <v>23669.99</v>
      </c>
      <c r="E509" s="283">
        <v>25000</v>
      </c>
      <c r="G509" s="265">
        <v>0</v>
      </c>
      <c r="H509" s="265">
        <v>0</v>
      </c>
      <c r="I509" s="265">
        <v>0</v>
      </c>
      <c r="J509" s="265">
        <v>0</v>
      </c>
      <c r="K509" s="265">
        <v>12886.16</v>
      </c>
      <c r="L509" s="265">
        <v>0</v>
      </c>
      <c r="M509" s="265">
        <v>0</v>
      </c>
      <c r="N509" s="265">
        <v>0</v>
      </c>
      <c r="O509" s="265">
        <v>0</v>
      </c>
      <c r="P509" s="265">
        <v>0</v>
      </c>
      <c r="Q509" s="265">
        <v>0</v>
      </c>
      <c r="R509" s="274">
        <v>0</v>
      </c>
      <c r="S509" s="265">
        <f t="shared" si="145"/>
        <v>12886.16</v>
      </c>
      <c r="T509" s="265">
        <v>25000</v>
      </c>
      <c r="U509" s="265">
        <f t="shared" si="146"/>
        <v>12113.84</v>
      </c>
      <c r="V509" s="262">
        <f t="shared" si="147"/>
        <v>0.51544639999999997</v>
      </c>
    </row>
    <row r="510" spans="1:23" ht="15.75" thickBot="1" x14ac:dyDescent="0.3">
      <c r="D510" s="363">
        <v>121714.59000000001</v>
      </c>
      <c r="E510" s="273">
        <f t="shared" ref="E510:S510" si="148">SUM(E504:E509)</f>
        <v>134000</v>
      </c>
      <c r="F510" s="350"/>
      <c r="G510" s="273">
        <f t="shared" si="148"/>
        <v>1238.8199999999997</v>
      </c>
      <c r="H510" s="273">
        <f t="shared" si="148"/>
        <v>6449.22</v>
      </c>
      <c r="I510" s="273">
        <f t="shared" si="148"/>
        <v>655.08000000000004</v>
      </c>
      <c r="J510" s="273">
        <f t="shared" si="148"/>
        <v>174.72</v>
      </c>
      <c r="K510" s="273">
        <f t="shared" si="148"/>
        <v>76390.27</v>
      </c>
      <c r="L510" s="273">
        <f t="shared" si="148"/>
        <v>5664</v>
      </c>
      <c r="M510" s="273">
        <f t="shared" si="148"/>
        <v>0</v>
      </c>
      <c r="N510" s="273">
        <f t="shared" si="148"/>
        <v>0</v>
      </c>
      <c r="O510" s="273">
        <f t="shared" si="148"/>
        <v>0</v>
      </c>
      <c r="P510" s="273">
        <f t="shared" si="148"/>
        <v>0</v>
      </c>
      <c r="Q510" s="273">
        <f t="shared" si="148"/>
        <v>0</v>
      </c>
      <c r="R510" s="273">
        <f t="shared" si="148"/>
        <v>0</v>
      </c>
      <c r="S510" s="273">
        <f t="shared" si="148"/>
        <v>90572.110000000015</v>
      </c>
      <c r="T510" s="273">
        <f>SUM(T504:T509)</f>
        <v>146000</v>
      </c>
      <c r="U510" s="273">
        <f>SUM(U504:U509)</f>
        <v>55427.89</v>
      </c>
      <c r="V510" s="272">
        <f t="shared" si="147"/>
        <v>0.62035691780821933</v>
      </c>
    </row>
    <row r="511" spans="1:23" ht="15.75" thickTop="1" x14ac:dyDescent="0.25">
      <c r="A511" t="s">
        <v>132</v>
      </c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W511" s="263"/>
    </row>
    <row r="512" spans="1:23" x14ac:dyDescent="0.25">
      <c r="A512" t="s">
        <v>55</v>
      </c>
      <c r="B512" t="s">
        <v>265</v>
      </c>
      <c r="C512" t="s">
        <v>264</v>
      </c>
      <c r="D512" s="283">
        <v>135696.21</v>
      </c>
      <c r="E512" s="283">
        <v>1000</v>
      </c>
      <c r="G512" s="265">
        <v>2732.4300000000003</v>
      </c>
      <c r="H512" s="265">
        <v>26134.39</v>
      </c>
      <c r="I512" s="265">
        <v>14575.24</v>
      </c>
      <c r="J512" s="265">
        <v>699.02999999999884</v>
      </c>
      <c r="K512" s="265">
        <v>0</v>
      </c>
      <c r="L512" s="265">
        <v>0</v>
      </c>
      <c r="M512" s="265">
        <v>0</v>
      </c>
      <c r="N512" s="265">
        <v>0</v>
      </c>
      <c r="O512" s="265">
        <v>0</v>
      </c>
      <c r="P512" s="265">
        <v>0</v>
      </c>
      <c r="Q512" s="265">
        <v>0</v>
      </c>
      <c r="R512" s="274">
        <v>0</v>
      </c>
      <c r="S512" s="265">
        <f t="shared" ref="S512:S514" si="149">SUM(G512:R512)</f>
        <v>44141.09</v>
      </c>
      <c r="T512" s="265">
        <v>1000</v>
      </c>
      <c r="U512" s="265">
        <f>T512-S512</f>
        <v>-43141.09</v>
      </c>
      <c r="V512" s="262">
        <f>S512/T512</f>
        <v>44.141089999999998</v>
      </c>
      <c r="W512" s="263"/>
    </row>
    <row r="513" spans="1:23" x14ac:dyDescent="0.25">
      <c r="B513" t="s">
        <v>896</v>
      </c>
      <c r="C513" t="s">
        <v>897</v>
      </c>
      <c r="D513" s="283">
        <v>386</v>
      </c>
      <c r="E513" s="283">
        <v>0</v>
      </c>
      <c r="G513" s="265">
        <v>2500</v>
      </c>
      <c r="H513" s="265">
        <v>0</v>
      </c>
      <c r="I513" s="265">
        <v>0</v>
      </c>
      <c r="J513" s="265">
        <v>0</v>
      </c>
      <c r="K513" s="265">
        <v>0</v>
      </c>
      <c r="L513" s="265">
        <v>0</v>
      </c>
      <c r="M513" s="265">
        <v>0</v>
      </c>
      <c r="N513" s="265">
        <v>0</v>
      </c>
      <c r="O513" s="265">
        <v>0</v>
      </c>
      <c r="P513" s="265">
        <v>0</v>
      </c>
      <c r="Q513" s="265">
        <v>0</v>
      </c>
      <c r="R513" s="265">
        <v>0</v>
      </c>
      <c r="S513" s="265">
        <f t="shared" si="149"/>
        <v>2500</v>
      </c>
      <c r="T513" s="265">
        <v>0</v>
      </c>
      <c r="U513" s="265">
        <f>T513-S513</f>
        <v>-2500</v>
      </c>
      <c r="V513" s="262">
        <v>0</v>
      </c>
      <c r="W513" s="263"/>
    </row>
    <row r="514" spans="1:23" x14ac:dyDescent="0.25">
      <c r="A514" t="s">
        <v>55</v>
      </c>
      <c r="B514" t="s">
        <v>263</v>
      </c>
      <c r="C514" t="s">
        <v>262</v>
      </c>
      <c r="D514" s="283">
        <v>7200</v>
      </c>
      <c r="E514" s="283">
        <v>68061.100000000006</v>
      </c>
      <c r="G514" s="265">
        <v>0</v>
      </c>
      <c r="H514" s="265">
        <v>0</v>
      </c>
      <c r="I514" s="265">
        <v>137411.9</v>
      </c>
      <c r="J514" s="265">
        <v>4161.890000000014</v>
      </c>
      <c r="K514" s="265">
        <v>0</v>
      </c>
      <c r="L514" s="265">
        <v>0</v>
      </c>
      <c r="M514" s="265">
        <v>0</v>
      </c>
      <c r="N514" s="265">
        <v>0</v>
      </c>
      <c r="O514" s="265">
        <v>0</v>
      </c>
      <c r="P514" s="265">
        <v>0</v>
      </c>
      <c r="Q514" s="265">
        <v>0</v>
      </c>
      <c r="R514" s="274">
        <v>0</v>
      </c>
      <c r="S514" s="265">
        <f t="shared" si="149"/>
        <v>141573.79</v>
      </c>
      <c r="T514" s="265">
        <v>197358.97</v>
      </c>
      <c r="U514" s="265">
        <f>T514-S514</f>
        <v>55785.179999999993</v>
      </c>
      <c r="V514" s="262">
        <f>S514/T514</f>
        <v>0.71734155280603662</v>
      </c>
    </row>
    <row r="515" spans="1:23" ht="15.75" thickBot="1" x14ac:dyDescent="0.3">
      <c r="D515" s="363">
        <v>143282.21</v>
      </c>
      <c r="E515" s="273">
        <v>69061.100000000006</v>
      </c>
      <c r="F515" s="350"/>
      <c r="G515" s="273">
        <f t="shared" ref="G515:S515" si="150">SUM(G512:G514)</f>
        <v>5232.43</v>
      </c>
      <c r="H515" s="273">
        <f t="shared" si="150"/>
        <v>26134.39</v>
      </c>
      <c r="I515" s="273">
        <f t="shared" si="150"/>
        <v>151987.13999999998</v>
      </c>
      <c r="J515" s="273">
        <f t="shared" si="150"/>
        <v>4860.9200000000128</v>
      </c>
      <c r="K515" s="273">
        <f t="shared" si="150"/>
        <v>0</v>
      </c>
      <c r="L515" s="273">
        <f t="shared" si="150"/>
        <v>0</v>
      </c>
      <c r="M515" s="273">
        <f t="shared" si="150"/>
        <v>0</v>
      </c>
      <c r="N515" s="273">
        <f t="shared" si="150"/>
        <v>0</v>
      </c>
      <c r="O515" s="273">
        <f t="shared" si="150"/>
        <v>0</v>
      </c>
      <c r="P515" s="273">
        <f t="shared" si="150"/>
        <v>0</v>
      </c>
      <c r="Q515" s="273">
        <f t="shared" si="150"/>
        <v>0</v>
      </c>
      <c r="R515" s="273">
        <f t="shared" si="150"/>
        <v>0</v>
      </c>
      <c r="S515" s="273">
        <f t="shared" si="150"/>
        <v>188214.88</v>
      </c>
      <c r="T515" s="273">
        <f>SUM(T512:T514)</f>
        <v>198358.97</v>
      </c>
      <c r="U515" s="273">
        <f>SUM(U512:U514)</f>
        <v>10144.089999999997</v>
      </c>
      <c r="V515" s="272">
        <f>S515/T515</f>
        <v>0.94885993812127578</v>
      </c>
    </row>
    <row r="516" spans="1:23" ht="15.75" thickTop="1" x14ac:dyDescent="0.25"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285"/>
      <c r="R516" s="285"/>
      <c r="S516" s="285"/>
      <c r="T516" s="285"/>
      <c r="U516" s="285"/>
      <c r="V516" s="284"/>
    </row>
    <row r="517" spans="1:23" ht="17.25" x14ac:dyDescent="0.3">
      <c r="C517" s="271" t="s">
        <v>261</v>
      </c>
      <c r="D517" s="366">
        <v>6548339.5199999996</v>
      </c>
      <c r="E517" s="270">
        <f t="shared" ref="E517:R517" si="151">E515+E510+E502+E485+E477+E451</f>
        <v>6042160.8899999997</v>
      </c>
      <c r="F517" s="355"/>
      <c r="G517" s="270">
        <f t="shared" si="151"/>
        <v>418500.24000000005</v>
      </c>
      <c r="H517" s="270">
        <f t="shared" si="151"/>
        <v>440084.83999999997</v>
      </c>
      <c r="I517" s="270">
        <f t="shared" si="151"/>
        <v>531017.58919968992</v>
      </c>
      <c r="J517" s="270">
        <f t="shared" si="151"/>
        <v>516216.86531680584</v>
      </c>
      <c r="K517" s="270">
        <f t="shared" si="151"/>
        <v>664672.70000000007</v>
      </c>
      <c r="L517" s="270">
        <f t="shared" si="151"/>
        <v>412486.22000000003</v>
      </c>
      <c r="M517" s="270">
        <f t="shared" si="151"/>
        <v>0</v>
      </c>
      <c r="N517" s="270">
        <f t="shared" si="151"/>
        <v>0</v>
      </c>
      <c r="O517" s="270">
        <f t="shared" si="151"/>
        <v>0</v>
      </c>
      <c r="P517" s="270">
        <f t="shared" si="151"/>
        <v>0</v>
      </c>
      <c r="Q517" s="270">
        <f t="shared" si="151"/>
        <v>0</v>
      </c>
      <c r="R517" s="270">
        <f t="shared" si="151"/>
        <v>0</v>
      </c>
      <c r="S517" s="270">
        <f>S515+S510+S502+S485+S477+S451</f>
        <v>2982978.454516496</v>
      </c>
      <c r="T517" s="270">
        <f>T515+T510+T502+T485+T477+T451</f>
        <v>6401487.6799999997</v>
      </c>
      <c r="U517" s="270">
        <f>U515+U510+U502+U485+U477+U451</f>
        <v>3418509.2254835041</v>
      </c>
      <c r="V517" s="269">
        <f>S517/T517</f>
        <v>0.46598206598696384</v>
      </c>
    </row>
    <row r="518" spans="1:23" ht="17.25" x14ac:dyDescent="0.3">
      <c r="C518" s="271"/>
      <c r="D518" s="366"/>
      <c r="E518" s="366"/>
      <c r="F518" s="354"/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83"/>
      <c r="R518" s="283"/>
      <c r="S518" s="283"/>
      <c r="T518" s="270"/>
      <c r="U518" s="270"/>
      <c r="V518" s="269"/>
    </row>
    <row r="519" spans="1:23" ht="17.25" x14ac:dyDescent="0.3">
      <c r="C519" s="271"/>
      <c r="D519" s="366"/>
      <c r="E519" s="366"/>
      <c r="F519" s="354"/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69"/>
    </row>
    <row r="520" spans="1:23" ht="18" thickBot="1" x14ac:dyDescent="0.35">
      <c r="C520" s="271"/>
      <c r="D520" s="366"/>
      <c r="E520" s="366"/>
      <c r="F520" s="354"/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69"/>
    </row>
    <row r="521" spans="1:23" ht="15.75" thickBot="1" x14ac:dyDescent="0.3">
      <c r="G521" s="387" t="s">
        <v>253</v>
      </c>
      <c r="H521" s="388"/>
      <c r="I521" s="388"/>
      <c r="J521" s="388"/>
      <c r="K521" s="388"/>
      <c r="L521" s="388"/>
      <c r="M521" s="388"/>
      <c r="N521" s="388"/>
      <c r="O521" s="388"/>
      <c r="P521" s="388"/>
      <c r="Q521" s="388"/>
      <c r="R521" s="388"/>
      <c r="S521" s="389"/>
      <c r="T521" s="265"/>
      <c r="U521" s="280" t="s">
        <v>252</v>
      </c>
    </row>
    <row r="522" spans="1:23" x14ac:dyDescent="0.25">
      <c r="A522" s="13" t="s">
        <v>260</v>
      </c>
      <c r="D522" s="361" t="s">
        <v>954</v>
      </c>
      <c r="E522" s="373" t="s">
        <v>956</v>
      </c>
      <c r="G522" s="279" t="s">
        <v>868</v>
      </c>
      <c r="H522" s="279" t="s">
        <v>869</v>
      </c>
      <c r="I522" s="279" t="s">
        <v>870</v>
      </c>
      <c r="J522" s="279" t="s">
        <v>871</v>
      </c>
      <c r="K522" s="279" t="s">
        <v>872</v>
      </c>
      <c r="L522" s="279" t="s">
        <v>873</v>
      </c>
      <c r="M522" s="279" t="s">
        <v>874</v>
      </c>
      <c r="N522" s="279" t="s">
        <v>875</v>
      </c>
      <c r="O522" s="279" t="s">
        <v>876</v>
      </c>
      <c r="P522" s="279" t="s">
        <v>877</v>
      </c>
      <c r="Q522" s="279" t="s">
        <v>878</v>
      </c>
      <c r="R522" s="279" t="s">
        <v>879</v>
      </c>
      <c r="S522" s="278" t="s">
        <v>250</v>
      </c>
      <c r="T522" s="277" t="s">
        <v>880</v>
      </c>
      <c r="U522" s="277" t="s">
        <v>249</v>
      </c>
      <c r="V522" s="276" t="s">
        <v>248</v>
      </c>
      <c r="W522" s="263"/>
    </row>
    <row r="523" spans="1:23" x14ac:dyDescent="0.25">
      <c r="A523" t="s">
        <v>55</v>
      </c>
      <c r="B523" t="s">
        <v>259</v>
      </c>
      <c r="C523" t="s">
        <v>258</v>
      </c>
      <c r="D523" s="283">
        <v>1190</v>
      </c>
      <c r="E523" s="283">
        <v>1200</v>
      </c>
      <c r="G523" s="265">
        <v>100</v>
      </c>
      <c r="H523" s="265">
        <v>100</v>
      </c>
      <c r="I523" s="265">
        <v>100</v>
      </c>
      <c r="J523" s="265">
        <v>100</v>
      </c>
      <c r="K523" s="265">
        <v>0</v>
      </c>
      <c r="L523" s="265">
        <v>100</v>
      </c>
      <c r="M523" s="265">
        <v>0</v>
      </c>
      <c r="N523" s="265">
        <v>0</v>
      </c>
      <c r="O523" s="265">
        <v>0</v>
      </c>
      <c r="P523" s="265">
        <v>0</v>
      </c>
      <c r="Q523" s="265">
        <v>0</v>
      </c>
      <c r="R523" s="265">
        <v>0</v>
      </c>
      <c r="S523" s="265">
        <f>SUM(G523:R523)</f>
        <v>500</v>
      </c>
      <c r="T523" s="265">
        <v>1200</v>
      </c>
      <c r="U523" s="265">
        <f>T523-S523</f>
        <v>700</v>
      </c>
      <c r="V523" s="262">
        <f>S523/T523</f>
        <v>0.41666666666666669</v>
      </c>
      <c r="W523" s="263"/>
    </row>
    <row r="524" spans="1:23" x14ac:dyDescent="0.25">
      <c r="A524" t="s">
        <v>55</v>
      </c>
      <c r="B524" t="s">
        <v>257</v>
      </c>
      <c r="C524" t="s">
        <v>256</v>
      </c>
      <c r="D524" s="283">
        <v>766.92</v>
      </c>
      <c r="E524" s="283">
        <v>2000</v>
      </c>
      <c r="G524" s="265">
        <v>0</v>
      </c>
      <c r="H524" s="265">
        <v>0</v>
      </c>
      <c r="I524" s="265">
        <v>0</v>
      </c>
      <c r="J524" s="265">
        <v>0</v>
      </c>
      <c r="K524" s="265">
        <v>28.999999999999993</v>
      </c>
      <c r="L524" s="265">
        <v>50.96</v>
      </c>
      <c r="M524" s="265">
        <v>0</v>
      </c>
      <c r="N524" s="265">
        <v>0</v>
      </c>
      <c r="O524" s="265">
        <v>0</v>
      </c>
      <c r="P524" s="265">
        <v>0</v>
      </c>
      <c r="Q524" s="265">
        <v>0</v>
      </c>
      <c r="R524" s="265">
        <v>0</v>
      </c>
      <c r="S524" s="265">
        <f>SUM(G524:R524)</f>
        <v>79.959999999999994</v>
      </c>
      <c r="T524" s="265">
        <v>2000</v>
      </c>
      <c r="U524" s="265">
        <f>T524-S524</f>
        <v>1920.04</v>
      </c>
      <c r="V524" s="262">
        <f>S524/T524</f>
        <v>3.9979999999999995E-2</v>
      </c>
      <c r="W524" s="263"/>
    </row>
    <row r="525" spans="1:23" x14ac:dyDescent="0.25">
      <c r="A525" t="s">
        <v>55</v>
      </c>
      <c r="B525" t="s">
        <v>255</v>
      </c>
      <c r="C525" t="s">
        <v>168</v>
      </c>
      <c r="D525" s="283">
        <v>0</v>
      </c>
      <c r="E525" s="283">
        <v>960</v>
      </c>
      <c r="G525" s="265">
        <v>2.8700000000000045</v>
      </c>
      <c r="H525" s="265">
        <v>180.39</v>
      </c>
      <c r="I525" s="265">
        <v>8.07</v>
      </c>
      <c r="J525" s="265">
        <v>18.010000000000002</v>
      </c>
      <c r="K525" s="265">
        <v>11.450000000000045</v>
      </c>
      <c r="L525" s="265">
        <v>142.44999999999999</v>
      </c>
      <c r="M525" s="265">
        <v>0</v>
      </c>
      <c r="N525" s="265">
        <v>0</v>
      </c>
      <c r="O525" s="265">
        <v>0</v>
      </c>
      <c r="P525" s="265">
        <v>0</v>
      </c>
      <c r="Q525" s="265">
        <v>0</v>
      </c>
      <c r="R525" s="265">
        <v>0</v>
      </c>
      <c r="S525" s="265">
        <f>SUM(G525:R525)</f>
        <v>363.24</v>
      </c>
      <c r="T525" s="265">
        <v>960</v>
      </c>
      <c r="U525" s="265">
        <f>T525-S525</f>
        <v>596.76</v>
      </c>
      <c r="V525" s="262">
        <f>S525/T525</f>
        <v>0.37837500000000002</v>
      </c>
      <c r="W525" s="263"/>
    </row>
    <row r="526" spans="1:23" ht="18" thickBot="1" x14ac:dyDescent="0.35">
      <c r="A526" t="s">
        <v>55</v>
      </c>
      <c r="C526" s="271" t="s">
        <v>943</v>
      </c>
      <c r="D526" s="370">
        <v>1956.92</v>
      </c>
      <c r="E526" s="282">
        <v>4160</v>
      </c>
      <c r="F526" s="357"/>
      <c r="G526" s="282">
        <f t="shared" ref="G526:P526" si="152">SUM(G523:G525)</f>
        <v>102.87</v>
      </c>
      <c r="H526" s="282">
        <f t="shared" si="152"/>
        <v>280.39</v>
      </c>
      <c r="I526" s="282">
        <f t="shared" si="152"/>
        <v>108.07</v>
      </c>
      <c r="J526" s="282">
        <f t="shared" si="152"/>
        <v>118.01</v>
      </c>
      <c r="K526" s="282">
        <f t="shared" si="152"/>
        <v>40.450000000000038</v>
      </c>
      <c r="L526" s="282">
        <f t="shared" si="152"/>
        <v>293.40999999999997</v>
      </c>
      <c r="M526" s="282">
        <f t="shared" si="152"/>
        <v>0</v>
      </c>
      <c r="N526" s="282">
        <f t="shared" si="152"/>
        <v>0</v>
      </c>
      <c r="O526" s="282">
        <f t="shared" si="152"/>
        <v>0</v>
      </c>
      <c r="P526" s="282">
        <f t="shared" si="152"/>
        <v>0</v>
      </c>
      <c r="Q526" s="282">
        <f t="shared" ref="Q526" si="153">SUM(Q523:Q525)</f>
        <v>0</v>
      </c>
      <c r="R526" s="282">
        <f t="shared" ref="R526" si="154">SUM(R523:R525)</f>
        <v>0</v>
      </c>
      <c r="S526" s="282">
        <f>SUM(S523:S525)</f>
        <v>943.2</v>
      </c>
      <c r="T526" s="282">
        <f>SUM(T523:T525)</f>
        <v>4160</v>
      </c>
      <c r="U526" s="282">
        <f>SUM(U523:U525)</f>
        <v>3216.8</v>
      </c>
      <c r="V526" s="281">
        <f>S526/T526</f>
        <v>0.22673076923076924</v>
      </c>
    </row>
    <row r="527" spans="1:23" ht="15.75" thickTop="1" x14ac:dyDescent="0.25"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</row>
    <row r="528" spans="1:23" ht="15.75" thickBot="1" x14ac:dyDescent="0.3"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</row>
    <row r="529" spans="1:23" ht="15.75" thickBot="1" x14ac:dyDescent="0.3">
      <c r="A529" s="13" t="s">
        <v>254</v>
      </c>
      <c r="G529" s="387" t="s">
        <v>253</v>
      </c>
      <c r="H529" s="388"/>
      <c r="I529" s="388"/>
      <c r="J529" s="388"/>
      <c r="K529" s="388"/>
      <c r="L529" s="388"/>
      <c r="M529" s="388"/>
      <c r="N529" s="388"/>
      <c r="O529" s="388"/>
      <c r="P529" s="388"/>
      <c r="Q529" s="388"/>
      <c r="R529" s="388"/>
      <c r="S529" s="389"/>
      <c r="T529" s="265"/>
      <c r="U529" s="280" t="s">
        <v>252</v>
      </c>
    </row>
    <row r="530" spans="1:23" x14ac:dyDescent="0.25">
      <c r="A530" t="s">
        <v>251</v>
      </c>
      <c r="D530" s="361" t="s">
        <v>954</v>
      </c>
      <c r="E530" s="373" t="s">
        <v>956</v>
      </c>
      <c r="G530" s="279" t="s">
        <v>868</v>
      </c>
      <c r="H530" s="279" t="s">
        <v>869</v>
      </c>
      <c r="I530" s="279" t="s">
        <v>870</v>
      </c>
      <c r="J530" s="279" t="s">
        <v>871</v>
      </c>
      <c r="K530" s="279" t="s">
        <v>872</v>
      </c>
      <c r="L530" s="279" t="s">
        <v>873</v>
      </c>
      <c r="M530" s="279" t="s">
        <v>874</v>
      </c>
      <c r="N530" s="279" t="s">
        <v>875</v>
      </c>
      <c r="O530" s="279" t="s">
        <v>876</v>
      </c>
      <c r="P530" s="279" t="s">
        <v>877</v>
      </c>
      <c r="Q530" s="279" t="s">
        <v>878</v>
      </c>
      <c r="R530" s="279" t="s">
        <v>879</v>
      </c>
      <c r="S530" s="278" t="s">
        <v>250</v>
      </c>
      <c r="T530" s="277" t="s">
        <v>880</v>
      </c>
      <c r="U530" s="277" t="s">
        <v>249</v>
      </c>
      <c r="V530" s="276" t="s">
        <v>248</v>
      </c>
      <c r="W530" s="263"/>
    </row>
    <row r="531" spans="1:23" x14ac:dyDescent="0.25">
      <c r="A531" t="s">
        <v>55</v>
      </c>
      <c r="B531" t="s">
        <v>247</v>
      </c>
      <c r="C531" t="s">
        <v>246</v>
      </c>
      <c r="D531" s="283">
        <v>23539.48</v>
      </c>
      <c r="E531" s="283">
        <v>20000</v>
      </c>
      <c r="G531" s="265">
        <v>3209.08</v>
      </c>
      <c r="H531" s="265">
        <v>1768.72</v>
      </c>
      <c r="I531" s="265">
        <v>1493.3</v>
      </c>
      <c r="J531" s="265">
        <v>2157.0333333333333</v>
      </c>
      <c r="K531" s="265">
        <v>-1190.4433333333327</v>
      </c>
      <c r="L531" s="265">
        <v>1025.23</v>
      </c>
      <c r="M531" s="265">
        <v>0</v>
      </c>
      <c r="N531" s="265">
        <v>0</v>
      </c>
      <c r="O531" s="265">
        <v>0</v>
      </c>
      <c r="P531" s="265">
        <v>0</v>
      </c>
      <c r="Q531" s="265">
        <v>0</v>
      </c>
      <c r="R531" s="265">
        <v>0</v>
      </c>
      <c r="S531" s="265">
        <f t="shared" ref="S531:S544" si="155">SUM(G531:R531)</f>
        <v>8462.92</v>
      </c>
      <c r="T531" s="265">
        <v>25000</v>
      </c>
      <c r="U531" s="265">
        <f t="shared" ref="U531:U544" si="156">T531-S531</f>
        <v>16537.080000000002</v>
      </c>
      <c r="V531" s="262">
        <f>S531/T531</f>
        <v>0.33851680000000001</v>
      </c>
      <c r="W531" s="263"/>
    </row>
    <row r="532" spans="1:23" x14ac:dyDescent="0.25">
      <c r="A532" t="s">
        <v>55</v>
      </c>
      <c r="B532" t="s">
        <v>245</v>
      </c>
      <c r="C532" t="s">
        <v>244</v>
      </c>
      <c r="D532" s="283">
        <v>31360</v>
      </c>
      <c r="E532" s="283">
        <v>28360</v>
      </c>
      <c r="G532" s="265">
        <v>0</v>
      </c>
      <c r="H532" s="265">
        <v>0</v>
      </c>
      <c r="I532" s="265">
        <v>0</v>
      </c>
      <c r="J532" s="265">
        <v>0</v>
      </c>
      <c r="K532" s="265">
        <v>0</v>
      </c>
      <c r="L532" s="265">
        <v>0</v>
      </c>
      <c r="M532" s="265">
        <v>0</v>
      </c>
      <c r="N532" s="265">
        <v>0</v>
      </c>
      <c r="O532" s="265">
        <v>0</v>
      </c>
      <c r="P532" s="265">
        <v>0</v>
      </c>
      <c r="Q532" s="265">
        <v>0</v>
      </c>
      <c r="R532" s="265">
        <v>0</v>
      </c>
      <c r="S532" s="265">
        <f t="shared" si="155"/>
        <v>0</v>
      </c>
      <c r="T532" s="265">
        <v>23360</v>
      </c>
      <c r="U532" s="265">
        <f t="shared" si="156"/>
        <v>23360</v>
      </c>
      <c r="V532" s="262">
        <f>S532/T532</f>
        <v>0</v>
      </c>
      <c r="W532" s="263"/>
    </row>
    <row r="533" spans="1:23" x14ac:dyDescent="0.25">
      <c r="A533" t="s">
        <v>55</v>
      </c>
      <c r="B533" t="s">
        <v>243</v>
      </c>
      <c r="C533" t="s">
        <v>242</v>
      </c>
      <c r="D533" s="283">
        <v>75614.039999999994</v>
      </c>
      <c r="E533" s="283">
        <v>77841</v>
      </c>
      <c r="G533" s="265">
        <v>4520.88</v>
      </c>
      <c r="H533" s="265">
        <v>5186.87</v>
      </c>
      <c r="I533" s="265">
        <v>5247.42</v>
      </c>
      <c r="J533" s="265">
        <v>4985.0566666666664</v>
      </c>
      <c r="K533" s="265">
        <v>5557.2733333333372</v>
      </c>
      <c r="L533" s="265">
        <v>4278.7</v>
      </c>
      <c r="M533" s="265">
        <v>0</v>
      </c>
      <c r="N533" s="265">
        <v>0</v>
      </c>
      <c r="O533" s="265">
        <v>0</v>
      </c>
      <c r="P533" s="265">
        <v>0</v>
      </c>
      <c r="Q533" s="265">
        <v>0</v>
      </c>
      <c r="R533" s="265">
        <v>0</v>
      </c>
      <c r="S533" s="265">
        <f t="shared" si="155"/>
        <v>29776.200000000004</v>
      </c>
      <c r="T533" s="265">
        <v>66833</v>
      </c>
      <c r="U533" s="265">
        <f t="shared" si="156"/>
        <v>37056.799999999996</v>
      </c>
      <c r="V533" s="262">
        <f>S533/T533</f>
        <v>0.44553139915909812</v>
      </c>
      <c r="W533" s="263"/>
    </row>
    <row r="534" spans="1:23" x14ac:dyDescent="0.25">
      <c r="B534" t="s">
        <v>241</v>
      </c>
      <c r="C534" t="s">
        <v>240</v>
      </c>
      <c r="D534" s="283">
        <v>2018.26</v>
      </c>
      <c r="E534" s="283">
        <v>0</v>
      </c>
      <c r="G534" s="265">
        <v>242.18000000000006</v>
      </c>
      <c r="H534" s="265">
        <v>530.17999999999995</v>
      </c>
      <c r="I534" s="265">
        <v>-514.90666666666652</v>
      </c>
      <c r="J534" s="265">
        <v>257.45333333333332</v>
      </c>
      <c r="K534" s="265">
        <v>257.45333333333332</v>
      </c>
      <c r="L534" s="265">
        <v>484.36</v>
      </c>
      <c r="M534" s="265">
        <v>0</v>
      </c>
      <c r="N534" s="265">
        <v>0</v>
      </c>
      <c r="O534" s="265">
        <v>0</v>
      </c>
      <c r="P534" s="265">
        <v>0</v>
      </c>
      <c r="Q534" s="265">
        <v>0</v>
      </c>
      <c r="R534" s="265">
        <v>0</v>
      </c>
      <c r="S534" s="265">
        <f t="shared" si="155"/>
        <v>1256.7200000000003</v>
      </c>
      <c r="T534" s="265">
        <v>0</v>
      </c>
      <c r="U534" s="265">
        <f t="shared" si="156"/>
        <v>-1256.7200000000003</v>
      </c>
      <c r="V534" s="262">
        <v>0</v>
      </c>
      <c r="W534" s="263"/>
    </row>
    <row r="535" spans="1:23" x14ac:dyDescent="0.25">
      <c r="B535" t="s">
        <v>898</v>
      </c>
      <c r="C535" t="s">
        <v>899</v>
      </c>
      <c r="D535" s="283">
        <v>0</v>
      </c>
      <c r="E535" s="283">
        <v>0</v>
      </c>
      <c r="G535" s="265">
        <v>484.3599999999999</v>
      </c>
      <c r="H535" s="265">
        <v>597.76</v>
      </c>
      <c r="I535" s="265">
        <v>-721.41333333333341</v>
      </c>
      <c r="J535" s="265">
        <v>360.70666666666665</v>
      </c>
      <c r="K535" s="265">
        <v>360.70666666666665</v>
      </c>
      <c r="L535" s="265">
        <v>484.36</v>
      </c>
      <c r="M535" s="265">
        <v>0</v>
      </c>
      <c r="N535" s="265">
        <v>0</v>
      </c>
      <c r="O535" s="265">
        <v>0</v>
      </c>
      <c r="P535" s="265">
        <v>0</v>
      </c>
      <c r="Q535" s="265">
        <v>0</v>
      </c>
      <c r="R535" s="265">
        <v>0</v>
      </c>
      <c r="S535" s="265">
        <f t="shared" ref="S535" si="157">SUM(G535:R535)</f>
        <v>1566.48</v>
      </c>
      <c r="T535" s="265">
        <v>0</v>
      </c>
      <c r="U535" s="265">
        <f t="shared" si="156"/>
        <v>-1566.48</v>
      </c>
      <c r="V535" s="262">
        <v>0</v>
      </c>
      <c r="W535" s="263"/>
    </row>
    <row r="536" spans="1:23" x14ac:dyDescent="0.25">
      <c r="A536" t="s">
        <v>55</v>
      </c>
      <c r="B536" t="s">
        <v>239</v>
      </c>
      <c r="C536" t="s">
        <v>238</v>
      </c>
      <c r="D536" s="283">
        <v>49400</v>
      </c>
      <c r="E536" s="283">
        <v>49400</v>
      </c>
      <c r="G536" s="265">
        <v>4116.68</v>
      </c>
      <c r="H536" s="265">
        <v>4116.68</v>
      </c>
      <c r="I536" s="265">
        <v>4116.68</v>
      </c>
      <c r="J536" s="265">
        <v>4116.68</v>
      </c>
      <c r="K536" s="265">
        <v>4116.68</v>
      </c>
      <c r="L536" s="265">
        <v>4116.68</v>
      </c>
      <c r="M536" s="265">
        <v>0</v>
      </c>
      <c r="N536" s="265">
        <v>0</v>
      </c>
      <c r="O536" s="265">
        <v>0</v>
      </c>
      <c r="P536" s="265">
        <v>0</v>
      </c>
      <c r="Q536" s="265">
        <v>0</v>
      </c>
      <c r="R536" s="265">
        <v>0</v>
      </c>
      <c r="S536" s="265">
        <f t="shared" si="155"/>
        <v>24700.080000000002</v>
      </c>
      <c r="T536" s="265">
        <v>49400</v>
      </c>
      <c r="U536" s="263">
        <f t="shared" si="156"/>
        <v>24699.919999999998</v>
      </c>
      <c r="V536" s="262">
        <f>S536/T536</f>
        <v>0.50000161943319843</v>
      </c>
      <c r="W536" s="263"/>
    </row>
    <row r="537" spans="1:23" x14ac:dyDescent="0.25">
      <c r="A537" t="s">
        <v>55</v>
      </c>
      <c r="B537" t="s">
        <v>237</v>
      </c>
      <c r="C537" t="s">
        <v>236</v>
      </c>
      <c r="D537" s="283">
        <v>169162.92</v>
      </c>
      <c r="E537" s="283">
        <v>167250.92000000001</v>
      </c>
      <c r="G537" s="265">
        <v>25326.559999999998</v>
      </c>
      <c r="H537" s="265">
        <v>25835.9</v>
      </c>
      <c r="I537" s="265">
        <v>27702.87</v>
      </c>
      <c r="J537" s="265">
        <v>23768.746666666615</v>
      </c>
      <c r="K537" s="265">
        <v>26288.443333333333</v>
      </c>
      <c r="L537" s="265">
        <v>24606.32</v>
      </c>
      <c r="M537" s="265">
        <v>0</v>
      </c>
      <c r="N537" s="265">
        <v>0</v>
      </c>
      <c r="O537" s="265">
        <v>0</v>
      </c>
      <c r="P537" s="265">
        <v>0</v>
      </c>
      <c r="Q537" s="265">
        <v>0</v>
      </c>
      <c r="R537" s="265">
        <v>0</v>
      </c>
      <c r="S537" s="265">
        <f t="shared" si="155"/>
        <v>153528.83999999994</v>
      </c>
      <c r="T537" s="265">
        <v>331904.01</v>
      </c>
      <c r="U537" s="265">
        <f t="shared" si="156"/>
        <v>178375.17000000007</v>
      </c>
      <c r="V537" s="262">
        <f>S537/T537</f>
        <v>0.4625700063099567</v>
      </c>
      <c r="W537" s="263"/>
    </row>
    <row r="538" spans="1:23" x14ac:dyDescent="0.25">
      <c r="B538" t="s">
        <v>901</v>
      </c>
      <c r="C538" t="s">
        <v>902</v>
      </c>
      <c r="D538" s="283">
        <v>0</v>
      </c>
      <c r="E538" s="283">
        <v>0</v>
      </c>
      <c r="G538" s="265">
        <v>665.17</v>
      </c>
      <c r="H538" s="265">
        <v>348</v>
      </c>
      <c r="I538" s="265">
        <v>336</v>
      </c>
      <c r="J538" s="265">
        <v>449.72333333333336</v>
      </c>
      <c r="K538" s="265">
        <v>449.72333333333336</v>
      </c>
      <c r="L538" s="265">
        <v>717.76</v>
      </c>
      <c r="M538" s="265">
        <v>0</v>
      </c>
      <c r="N538" s="265">
        <v>0</v>
      </c>
      <c r="O538" s="265">
        <v>0</v>
      </c>
      <c r="P538" s="265">
        <v>0</v>
      </c>
      <c r="Q538" s="265">
        <v>0</v>
      </c>
      <c r="R538" s="265">
        <v>0</v>
      </c>
      <c r="S538" s="265">
        <f t="shared" si="155"/>
        <v>2966.376666666667</v>
      </c>
      <c r="T538" s="265">
        <v>0</v>
      </c>
      <c r="U538" s="265">
        <f t="shared" si="156"/>
        <v>-2966.376666666667</v>
      </c>
      <c r="V538" s="262">
        <v>0</v>
      </c>
      <c r="W538" s="263"/>
    </row>
    <row r="539" spans="1:23" x14ac:dyDescent="0.25">
      <c r="B539" t="s">
        <v>903</v>
      </c>
      <c r="C539" t="s">
        <v>904</v>
      </c>
      <c r="D539" s="283">
        <v>0</v>
      </c>
      <c r="E539" s="283">
        <v>0</v>
      </c>
      <c r="G539" s="265">
        <v>839.99999999999977</v>
      </c>
      <c r="H539" s="265">
        <v>2008.72</v>
      </c>
      <c r="I539" s="265">
        <v>780</v>
      </c>
      <c r="J539" s="265">
        <v>1209.5733333333333</v>
      </c>
      <c r="K539" s="265">
        <v>1209.5733333333333</v>
      </c>
      <c r="L539" s="265">
        <v>677.67</v>
      </c>
      <c r="M539" s="265">
        <v>0</v>
      </c>
      <c r="N539" s="265">
        <v>0</v>
      </c>
      <c r="O539" s="265">
        <v>0</v>
      </c>
      <c r="P539" s="265">
        <v>0</v>
      </c>
      <c r="Q539" s="265">
        <v>0</v>
      </c>
      <c r="R539" s="265">
        <v>0</v>
      </c>
      <c r="S539" s="265">
        <f t="shared" si="155"/>
        <v>6725.5366666666669</v>
      </c>
      <c r="T539" s="265">
        <v>0</v>
      </c>
      <c r="U539" s="265">
        <f t="shared" si="156"/>
        <v>-6725.5366666666669</v>
      </c>
      <c r="V539" s="262">
        <v>0</v>
      </c>
      <c r="W539" s="263"/>
    </row>
    <row r="540" spans="1:23" x14ac:dyDescent="0.25">
      <c r="B540" t="s">
        <v>905</v>
      </c>
      <c r="C540" t="s">
        <v>906</v>
      </c>
      <c r="D540" s="283">
        <v>88</v>
      </c>
      <c r="E540" s="283">
        <v>0</v>
      </c>
      <c r="G540" s="265">
        <v>665.17</v>
      </c>
      <c r="H540" s="265">
        <v>120</v>
      </c>
      <c r="I540" s="265">
        <v>76.290000000000006</v>
      </c>
      <c r="J540" s="265">
        <v>287.15333333333331</v>
      </c>
      <c r="K540" s="265">
        <v>287.15333333333331</v>
      </c>
      <c r="L540" s="265">
        <v>0</v>
      </c>
      <c r="M540" s="265">
        <v>0</v>
      </c>
      <c r="N540" s="265">
        <v>0</v>
      </c>
      <c r="O540" s="265">
        <v>0</v>
      </c>
      <c r="P540" s="265">
        <v>0</v>
      </c>
      <c r="Q540" s="265">
        <v>0</v>
      </c>
      <c r="R540" s="265">
        <v>0</v>
      </c>
      <c r="S540" s="265">
        <f t="shared" si="155"/>
        <v>1435.7666666666664</v>
      </c>
      <c r="T540" s="265">
        <v>0</v>
      </c>
      <c r="U540" s="265">
        <f t="shared" si="156"/>
        <v>-1435.7666666666664</v>
      </c>
      <c r="V540" s="262">
        <v>0</v>
      </c>
      <c r="W540" s="263"/>
    </row>
    <row r="541" spans="1:23" x14ac:dyDescent="0.25">
      <c r="A541" t="s">
        <v>55</v>
      </c>
      <c r="B541" t="s">
        <v>235</v>
      </c>
      <c r="C541" t="s">
        <v>234</v>
      </c>
      <c r="D541" s="283">
        <v>68591.22</v>
      </c>
      <c r="E541" s="283">
        <v>67614</v>
      </c>
      <c r="G541" s="265">
        <v>5750.68</v>
      </c>
      <c r="H541" s="265">
        <v>5953.17</v>
      </c>
      <c r="I541" s="265">
        <v>5630.68</v>
      </c>
      <c r="J541" s="265">
        <v>5778.1766666666663</v>
      </c>
      <c r="K541" s="265">
        <v>5778.1766666666663</v>
      </c>
      <c r="L541" s="265">
        <v>5532.57</v>
      </c>
      <c r="M541" s="265">
        <v>0</v>
      </c>
      <c r="N541" s="265">
        <v>0</v>
      </c>
      <c r="O541" s="265">
        <v>0</v>
      </c>
      <c r="P541" s="265">
        <v>0</v>
      </c>
      <c r="Q541" s="265">
        <v>0</v>
      </c>
      <c r="R541" s="265">
        <v>0</v>
      </c>
      <c r="S541" s="265">
        <f t="shared" si="155"/>
        <v>34423.453333333331</v>
      </c>
      <c r="T541" s="265">
        <v>33114.54</v>
      </c>
      <c r="U541" s="265">
        <f t="shared" si="156"/>
        <v>-1308.9133333333302</v>
      </c>
      <c r="V541" s="262">
        <f>S541/T541</f>
        <v>1.0395268463138347</v>
      </c>
      <c r="W541" s="263"/>
    </row>
    <row r="542" spans="1:23" x14ac:dyDescent="0.25">
      <c r="B542" t="s">
        <v>913</v>
      </c>
      <c r="C542" t="s">
        <v>914</v>
      </c>
      <c r="D542" s="283">
        <v>0</v>
      </c>
      <c r="E542" s="283">
        <v>0</v>
      </c>
      <c r="G542" s="265">
        <v>0</v>
      </c>
      <c r="H542" s="265">
        <v>0</v>
      </c>
      <c r="I542" s="265">
        <v>120</v>
      </c>
      <c r="J542" s="265">
        <v>40</v>
      </c>
      <c r="K542" s="265">
        <v>40</v>
      </c>
      <c r="L542" s="265">
        <v>0</v>
      </c>
      <c r="M542" s="265">
        <v>0</v>
      </c>
      <c r="N542" s="265">
        <v>0</v>
      </c>
      <c r="O542" s="265">
        <v>0</v>
      </c>
      <c r="P542" s="265">
        <v>0</v>
      </c>
      <c r="Q542" s="265">
        <v>0</v>
      </c>
      <c r="R542" s="265">
        <v>0</v>
      </c>
      <c r="S542" s="265">
        <f t="shared" si="155"/>
        <v>200</v>
      </c>
      <c r="T542" s="265">
        <v>0</v>
      </c>
      <c r="U542" s="265">
        <f t="shared" si="156"/>
        <v>-200</v>
      </c>
      <c r="V542" s="262">
        <v>0</v>
      </c>
      <c r="W542" s="263"/>
    </row>
    <row r="543" spans="1:23" x14ac:dyDescent="0.25">
      <c r="B543" t="s">
        <v>900</v>
      </c>
      <c r="C543" t="s">
        <v>262</v>
      </c>
      <c r="D543" s="283">
        <v>0</v>
      </c>
      <c r="E543" s="283">
        <v>0</v>
      </c>
      <c r="G543" s="265">
        <v>0</v>
      </c>
      <c r="H543" s="265">
        <v>0</v>
      </c>
      <c r="I543" s="265">
        <v>0</v>
      </c>
      <c r="J543" s="265">
        <v>0</v>
      </c>
      <c r="K543" s="265">
        <v>0</v>
      </c>
      <c r="L543" s="265">
        <v>0</v>
      </c>
      <c r="M543" s="265">
        <v>0</v>
      </c>
      <c r="N543" s="265">
        <v>0</v>
      </c>
      <c r="O543" s="265">
        <v>0</v>
      </c>
      <c r="P543" s="265">
        <v>0</v>
      </c>
      <c r="Q543" s="265">
        <v>0</v>
      </c>
      <c r="R543" s="265">
        <v>0</v>
      </c>
      <c r="S543" s="265">
        <f t="shared" si="155"/>
        <v>0</v>
      </c>
      <c r="T543" s="265">
        <v>24967.83</v>
      </c>
      <c r="U543" s="265">
        <f t="shared" si="156"/>
        <v>24967.83</v>
      </c>
      <c r="V543" s="262">
        <f>S543/T543</f>
        <v>0</v>
      </c>
      <c r="W543" s="263"/>
    </row>
    <row r="544" spans="1:23" x14ac:dyDescent="0.25">
      <c r="A544" t="s">
        <v>55</v>
      </c>
      <c r="B544" t="s">
        <v>233</v>
      </c>
      <c r="C544" t="s">
        <v>232</v>
      </c>
      <c r="D544" s="283">
        <v>165</v>
      </c>
      <c r="E544" s="283">
        <v>0</v>
      </c>
      <c r="G544" s="265">
        <v>0</v>
      </c>
      <c r="H544" s="265">
        <v>0</v>
      </c>
      <c r="I544" s="265">
        <v>0</v>
      </c>
      <c r="J544" s="265">
        <v>0</v>
      </c>
      <c r="K544" s="265">
        <v>0</v>
      </c>
      <c r="L544" s="265">
        <v>0</v>
      </c>
      <c r="M544" s="265">
        <v>0</v>
      </c>
      <c r="N544" s="265">
        <v>0</v>
      </c>
      <c r="O544" s="265">
        <v>0</v>
      </c>
      <c r="P544" s="265">
        <v>0</v>
      </c>
      <c r="Q544" s="265">
        <v>0</v>
      </c>
      <c r="R544" s="265">
        <v>0</v>
      </c>
      <c r="S544" s="265">
        <f t="shared" si="155"/>
        <v>0</v>
      </c>
      <c r="T544" s="265">
        <v>0</v>
      </c>
      <c r="U544" s="265">
        <f t="shared" si="156"/>
        <v>0</v>
      </c>
      <c r="V544" s="262">
        <v>0</v>
      </c>
    </row>
    <row r="545" spans="1:23" ht="15.75" thickBot="1" x14ac:dyDescent="0.3">
      <c r="D545" s="363">
        <v>419938.92000000004</v>
      </c>
      <c r="E545" s="273">
        <v>410465.92000000004</v>
      </c>
      <c r="F545" s="350"/>
      <c r="G545" s="273">
        <f t="shared" ref="G545:R545" si="158">SUM(G531:G544)</f>
        <v>45820.759999999995</v>
      </c>
      <c r="H545" s="273">
        <f>SUM(H531:H544)</f>
        <v>46466</v>
      </c>
      <c r="I545" s="273">
        <f t="shared" si="158"/>
        <v>44266.92</v>
      </c>
      <c r="J545" s="273">
        <f t="shared" si="158"/>
        <v>43410.303333333286</v>
      </c>
      <c r="K545" s="273">
        <f t="shared" si="158"/>
        <v>43154.740000000013</v>
      </c>
      <c r="L545" s="273">
        <f t="shared" si="158"/>
        <v>41923.65</v>
      </c>
      <c r="M545" s="273">
        <f t="shared" si="158"/>
        <v>0</v>
      </c>
      <c r="N545" s="273">
        <f t="shared" si="158"/>
        <v>0</v>
      </c>
      <c r="O545" s="273">
        <f t="shared" si="158"/>
        <v>0</v>
      </c>
      <c r="P545" s="273">
        <f t="shared" si="158"/>
        <v>0</v>
      </c>
      <c r="Q545" s="273">
        <f t="shared" si="158"/>
        <v>0</v>
      </c>
      <c r="R545" s="273">
        <f t="shared" si="158"/>
        <v>0</v>
      </c>
      <c r="S545" s="273">
        <f>SUM(S531:S544)</f>
        <v>265042.37333333323</v>
      </c>
      <c r="T545" s="273">
        <f>SUM(T531:T544)</f>
        <v>554579.38</v>
      </c>
      <c r="U545" s="273">
        <f>SUM(U531:U544)</f>
        <v>289537.00666666677</v>
      </c>
      <c r="V545" s="272">
        <f>S545/T545</f>
        <v>0.47791602589575766</v>
      </c>
    </row>
    <row r="546" spans="1:23" ht="15.75" thickTop="1" x14ac:dyDescent="0.25"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</row>
    <row r="547" spans="1:23" x14ac:dyDescent="0.25">
      <c r="A547" t="s">
        <v>231</v>
      </c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W547" s="263"/>
    </row>
    <row r="548" spans="1:23" x14ac:dyDescent="0.25">
      <c r="A548" t="s">
        <v>55</v>
      </c>
      <c r="B548" t="s">
        <v>230</v>
      </c>
      <c r="C548" t="s">
        <v>229</v>
      </c>
      <c r="D548" s="283">
        <v>7058.05</v>
      </c>
      <c r="E548" s="283">
        <v>40000</v>
      </c>
      <c r="G548" s="265">
        <v>0</v>
      </c>
      <c r="H548" s="265">
        <v>0</v>
      </c>
      <c r="I548" s="265">
        <v>3375</v>
      </c>
      <c r="J548" s="265">
        <v>0</v>
      </c>
      <c r="K548" s="265">
        <v>0</v>
      </c>
      <c r="L548" s="265">
        <v>0</v>
      </c>
      <c r="M548" s="274">
        <v>0</v>
      </c>
      <c r="N548" s="265">
        <v>0</v>
      </c>
      <c r="O548" s="265">
        <v>0</v>
      </c>
      <c r="P548" s="265">
        <v>0</v>
      </c>
      <c r="Q548" s="265">
        <v>0</v>
      </c>
      <c r="R548" s="265">
        <v>0</v>
      </c>
      <c r="S548" s="265">
        <f t="shared" ref="S548:S569" si="159">SUM(G548:R548)</f>
        <v>3375</v>
      </c>
      <c r="T548" s="265">
        <v>40000</v>
      </c>
      <c r="U548" s="265">
        <f t="shared" ref="U548:U569" si="160">T548-S548</f>
        <v>36625</v>
      </c>
      <c r="V548" s="262">
        <f t="shared" ref="V548:V569" si="161">S548/T548</f>
        <v>8.4375000000000006E-2</v>
      </c>
      <c r="W548" s="263"/>
    </row>
    <row r="549" spans="1:23" x14ac:dyDescent="0.25">
      <c r="A549" t="s">
        <v>55</v>
      </c>
      <c r="B549" t="s">
        <v>228</v>
      </c>
      <c r="C549" t="s">
        <v>227</v>
      </c>
      <c r="D549" s="283">
        <v>23857.3</v>
      </c>
      <c r="E549" s="283">
        <v>10956.72</v>
      </c>
      <c r="G549" s="265">
        <v>0</v>
      </c>
      <c r="H549" s="265">
        <v>14224.25</v>
      </c>
      <c r="I549" s="265">
        <v>1859.1800000000003</v>
      </c>
      <c r="J549" s="265">
        <v>3120</v>
      </c>
      <c r="K549" s="265">
        <v>0</v>
      </c>
      <c r="L549" s="265">
        <v>0</v>
      </c>
      <c r="M549" s="274">
        <v>0</v>
      </c>
      <c r="N549" s="265">
        <v>0</v>
      </c>
      <c r="O549" s="265">
        <v>0</v>
      </c>
      <c r="P549" s="265">
        <v>0</v>
      </c>
      <c r="Q549" s="265">
        <v>0</v>
      </c>
      <c r="R549" s="265">
        <v>0</v>
      </c>
      <c r="S549" s="265">
        <f t="shared" si="159"/>
        <v>19203.43</v>
      </c>
      <c r="T549" s="265">
        <v>11000</v>
      </c>
      <c r="U549" s="265">
        <f t="shared" si="160"/>
        <v>-8203.43</v>
      </c>
      <c r="V549" s="262">
        <f t="shared" si="161"/>
        <v>1.7457663636363636</v>
      </c>
      <c r="W549" s="263"/>
    </row>
    <row r="550" spans="1:23" x14ac:dyDescent="0.25">
      <c r="A550" t="s">
        <v>55</v>
      </c>
      <c r="B550" t="s">
        <v>226</v>
      </c>
      <c r="C550" t="s">
        <v>225</v>
      </c>
      <c r="D550" s="283">
        <v>14820.5</v>
      </c>
      <c r="E550" s="283">
        <v>14500</v>
      </c>
      <c r="G550" s="265">
        <v>1115.1799999999998</v>
      </c>
      <c r="H550" s="265">
        <f>486.16+629.02</f>
        <v>1115.18</v>
      </c>
      <c r="I550" s="265">
        <v>1519.46</v>
      </c>
      <c r="J550" s="265">
        <v>1390.27</v>
      </c>
      <c r="K550" s="265">
        <v>1239.9900000000002</v>
      </c>
      <c r="L550" s="265">
        <v>1122.1300000000001</v>
      </c>
      <c r="M550" s="274">
        <v>0</v>
      </c>
      <c r="N550" s="265">
        <v>0</v>
      </c>
      <c r="O550" s="265">
        <v>0</v>
      </c>
      <c r="P550" s="265">
        <v>0</v>
      </c>
      <c r="Q550" s="265">
        <v>0</v>
      </c>
      <c r="R550" s="265">
        <v>0</v>
      </c>
      <c r="S550" s="265">
        <f t="shared" si="159"/>
        <v>7502.21</v>
      </c>
      <c r="T550" s="265">
        <v>14500</v>
      </c>
      <c r="U550" s="265">
        <f t="shared" si="160"/>
        <v>6997.79</v>
      </c>
      <c r="V550" s="262">
        <f t="shared" si="161"/>
        <v>0.51739379310344824</v>
      </c>
      <c r="W550" s="263"/>
    </row>
    <row r="551" spans="1:23" x14ac:dyDescent="0.25">
      <c r="A551" t="s">
        <v>55</v>
      </c>
      <c r="B551" t="s">
        <v>224</v>
      </c>
      <c r="C551" t="s">
        <v>223</v>
      </c>
      <c r="D551" s="283">
        <v>25887.29</v>
      </c>
      <c r="E551" s="283">
        <v>10000</v>
      </c>
      <c r="G551" s="265">
        <v>407.24</v>
      </c>
      <c r="H551" s="265">
        <v>0</v>
      </c>
      <c r="I551" s="265">
        <v>0</v>
      </c>
      <c r="J551" s="265">
        <v>4600</v>
      </c>
      <c r="K551" s="265">
        <v>395</v>
      </c>
      <c r="L551" s="265">
        <v>1300</v>
      </c>
      <c r="M551" s="274">
        <v>0</v>
      </c>
      <c r="N551" s="265">
        <v>0</v>
      </c>
      <c r="O551" s="265">
        <v>0</v>
      </c>
      <c r="P551" s="265">
        <v>0</v>
      </c>
      <c r="Q551" s="265">
        <v>0</v>
      </c>
      <c r="R551" s="265">
        <v>0</v>
      </c>
      <c r="S551" s="265">
        <f t="shared" si="159"/>
        <v>6702.24</v>
      </c>
      <c r="T551" s="265">
        <v>15000</v>
      </c>
      <c r="U551" s="265">
        <f t="shared" si="160"/>
        <v>8297.76</v>
      </c>
      <c r="V551" s="262">
        <f t="shared" si="161"/>
        <v>0.44681599999999999</v>
      </c>
      <c r="W551" s="263"/>
    </row>
    <row r="552" spans="1:23" x14ac:dyDescent="0.25">
      <c r="A552" t="s">
        <v>55</v>
      </c>
      <c r="B552" t="s">
        <v>222</v>
      </c>
      <c r="C552" t="s">
        <v>221</v>
      </c>
      <c r="D552" s="283">
        <v>82754.240000000005</v>
      </c>
      <c r="E552" s="283">
        <v>38166.839999999997</v>
      </c>
      <c r="G552" s="265">
        <v>0</v>
      </c>
      <c r="H552" s="265">
        <v>69.738686091935961</v>
      </c>
      <c r="I552" s="265">
        <v>350.06</v>
      </c>
      <c r="J552" s="265">
        <v>25451.741313908064</v>
      </c>
      <c r="K552" s="265">
        <v>0</v>
      </c>
      <c r="L552" s="265">
        <v>3825.91</v>
      </c>
      <c r="M552" s="274">
        <v>0</v>
      </c>
      <c r="N552" s="265">
        <v>0</v>
      </c>
      <c r="O552" s="265">
        <v>0</v>
      </c>
      <c r="P552" s="265">
        <v>0</v>
      </c>
      <c r="Q552" s="265">
        <v>0</v>
      </c>
      <c r="R552" s="265">
        <v>0</v>
      </c>
      <c r="S552" s="265">
        <f t="shared" si="159"/>
        <v>29697.45</v>
      </c>
      <c r="T552" s="265">
        <v>38166.81</v>
      </c>
      <c r="U552" s="265">
        <f t="shared" si="160"/>
        <v>8469.3599999999969</v>
      </c>
      <c r="V552" s="262">
        <f t="shared" si="161"/>
        <v>0.77809620452953765</v>
      </c>
      <c r="W552" s="263"/>
    </row>
    <row r="553" spans="1:23" x14ac:dyDescent="0.25">
      <c r="A553" t="s">
        <v>55</v>
      </c>
      <c r="B553" t="s">
        <v>220</v>
      </c>
      <c r="C553" t="s">
        <v>219</v>
      </c>
      <c r="D553" s="283">
        <v>0</v>
      </c>
      <c r="E553" s="283">
        <v>4536.24</v>
      </c>
      <c r="G553" s="265">
        <v>0</v>
      </c>
      <c r="H553" s="265">
        <v>0</v>
      </c>
      <c r="I553" s="265">
        <v>0</v>
      </c>
      <c r="J553" s="265">
        <v>0</v>
      </c>
      <c r="K553" s="265">
        <v>0</v>
      </c>
      <c r="L553" s="265">
        <v>0</v>
      </c>
      <c r="M553" s="274">
        <v>0</v>
      </c>
      <c r="N553" s="265">
        <v>0</v>
      </c>
      <c r="O553" s="265">
        <v>0</v>
      </c>
      <c r="P553" s="265">
        <v>0</v>
      </c>
      <c r="Q553" s="265">
        <v>0</v>
      </c>
      <c r="R553" s="265">
        <v>0</v>
      </c>
      <c r="S553" s="265">
        <f t="shared" si="159"/>
        <v>0</v>
      </c>
      <c r="T553" s="265">
        <v>4536.24</v>
      </c>
      <c r="U553" s="265">
        <f t="shared" si="160"/>
        <v>4536.24</v>
      </c>
      <c r="V553" s="262">
        <f t="shared" si="161"/>
        <v>0</v>
      </c>
      <c r="W553" s="263"/>
    </row>
    <row r="554" spans="1:23" x14ac:dyDescent="0.25">
      <c r="A554" t="s">
        <v>55</v>
      </c>
      <c r="B554" t="s">
        <v>218</v>
      </c>
      <c r="C554" t="s">
        <v>217</v>
      </c>
      <c r="D554" s="283">
        <v>0</v>
      </c>
      <c r="E554" s="283">
        <v>100</v>
      </c>
      <c r="G554" s="265">
        <v>0</v>
      </c>
      <c r="H554" s="265">
        <v>0</v>
      </c>
      <c r="I554" s="265">
        <v>0</v>
      </c>
      <c r="J554" s="265">
        <v>0</v>
      </c>
      <c r="K554" s="265">
        <v>0</v>
      </c>
      <c r="L554" s="265">
        <v>0</v>
      </c>
      <c r="M554" s="274">
        <v>0</v>
      </c>
      <c r="N554" s="265">
        <v>0</v>
      </c>
      <c r="O554" s="265">
        <v>0</v>
      </c>
      <c r="P554" s="265">
        <v>0</v>
      </c>
      <c r="Q554" s="265">
        <v>0</v>
      </c>
      <c r="R554" s="265">
        <v>0</v>
      </c>
      <c r="S554" s="265">
        <f t="shared" si="159"/>
        <v>0</v>
      </c>
      <c r="T554" s="265">
        <v>500</v>
      </c>
      <c r="U554" s="265">
        <f t="shared" si="160"/>
        <v>500</v>
      </c>
      <c r="V554" s="262">
        <f t="shared" si="161"/>
        <v>0</v>
      </c>
      <c r="W554" s="263"/>
    </row>
    <row r="555" spans="1:23" x14ac:dyDescent="0.25">
      <c r="A555" t="s">
        <v>55</v>
      </c>
      <c r="B555" t="s">
        <v>216</v>
      </c>
      <c r="C555" t="s">
        <v>215</v>
      </c>
      <c r="D555" s="283">
        <v>0</v>
      </c>
      <c r="E555" s="283">
        <v>100</v>
      </c>
      <c r="G555" s="265">
        <v>0</v>
      </c>
      <c r="H555" s="265">
        <v>0</v>
      </c>
      <c r="I555" s="265">
        <v>0</v>
      </c>
      <c r="J555" s="265">
        <v>0</v>
      </c>
      <c r="K555" s="265">
        <v>0</v>
      </c>
      <c r="L555" s="265">
        <v>0</v>
      </c>
      <c r="M555" s="274">
        <v>0</v>
      </c>
      <c r="N555" s="265">
        <v>0</v>
      </c>
      <c r="O555" s="265">
        <v>0</v>
      </c>
      <c r="P555" s="265">
        <v>0</v>
      </c>
      <c r="Q555" s="265">
        <v>0</v>
      </c>
      <c r="R555" s="265">
        <v>0</v>
      </c>
      <c r="S555" s="265">
        <f t="shared" si="159"/>
        <v>0</v>
      </c>
      <c r="T555" s="265">
        <v>100</v>
      </c>
      <c r="U555" s="265">
        <f t="shared" si="160"/>
        <v>100</v>
      </c>
      <c r="V555" s="262">
        <f t="shared" si="161"/>
        <v>0</v>
      </c>
      <c r="W555" s="263"/>
    </row>
    <row r="556" spans="1:23" x14ac:dyDescent="0.25">
      <c r="A556" t="s">
        <v>55</v>
      </c>
      <c r="B556" t="s">
        <v>214</v>
      </c>
      <c r="C556" t="s">
        <v>213</v>
      </c>
      <c r="D556" s="283">
        <v>54150.76</v>
      </c>
      <c r="E556" s="283">
        <v>68000</v>
      </c>
      <c r="G556" s="265">
        <v>3778.88</v>
      </c>
      <c r="H556" s="265">
        <v>3679.21</v>
      </c>
      <c r="I556" s="265">
        <v>4016.25</v>
      </c>
      <c r="J556" s="265">
        <v>6720.06</v>
      </c>
      <c r="K556" s="265">
        <v>1529.9</v>
      </c>
      <c r="L556" s="265">
        <v>6633.63</v>
      </c>
      <c r="M556" s="274">
        <v>0</v>
      </c>
      <c r="N556" s="265">
        <v>0</v>
      </c>
      <c r="O556" s="265">
        <v>0</v>
      </c>
      <c r="P556" s="265">
        <v>0</v>
      </c>
      <c r="Q556" s="265">
        <v>0</v>
      </c>
      <c r="R556" s="265">
        <v>0</v>
      </c>
      <c r="S556" s="265">
        <f t="shared" si="159"/>
        <v>26357.930000000004</v>
      </c>
      <c r="T556" s="265">
        <v>68000</v>
      </c>
      <c r="U556" s="265">
        <f t="shared" si="160"/>
        <v>41642.069999999992</v>
      </c>
      <c r="V556" s="262">
        <f t="shared" si="161"/>
        <v>0.3876166176470589</v>
      </c>
      <c r="W556" s="263"/>
    </row>
    <row r="557" spans="1:23" x14ac:dyDescent="0.25">
      <c r="A557" t="s">
        <v>55</v>
      </c>
      <c r="B557" t="s">
        <v>212</v>
      </c>
      <c r="C557" t="s">
        <v>211</v>
      </c>
      <c r="D557" s="283">
        <v>11366.07</v>
      </c>
      <c r="E557" s="283">
        <v>3000</v>
      </c>
      <c r="G557" s="265">
        <v>1300.8499999999999</v>
      </c>
      <c r="H557" s="265">
        <v>0</v>
      </c>
      <c r="I557" s="265">
        <v>0</v>
      </c>
      <c r="J557" s="265">
        <v>0</v>
      </c>
      <c r="K557" s="265">
        <v>0</v>
      </c>
      <c r="L557" s="265">
        <v>0</v>
      </c>
      <c r="M557" s="274">
        <v>0</v>
      </c>
      <c r="N557" s="265">
        <v>0</v>
      </c>
      <c r="O557" s="265">
        <v>0</v>
      </c>
      <c r="P557" s="265">
        <v>0</v>
      </c>
      <c r="Q557" s="265">
        <v>0</v>
      </c>
      <c r="R557" s="265">
        <v>0</v>
      </c>
      <c r="S557" s="265">
        <f t="shared" si="159"/>
        <v>1300.8499999999999</v>
      </c>
      <c r="T557" s="265">
        <v>8000</v>
      </c>
      <c r="U557" s="265">
        <f t="shared" si="160"/>
        <v>6699.15</v>
      </c>
      <c r="V557" s="262">
        <f t="shared" si="161"/>
        <v>0.16260624999999998</v>
      </c>
      <c r="W557" s="263"/>
    </row>
    <row r="558" spans="1:23" x14ac:dyDescent="0.25">
      <c r="A558" t="s">
        <v>55</v>
      </c>
      <c r="B558" t="s">
        <v>210</v>
      </c>
      <c r="C558" t="s">
        <v>209</v>
      </c>
      <c r="D558" s="283">
        <v>39953.93</v>
      </c>
      <c r="E558" s="283">
        <v>50000</v>
      </c>
      <c r="G558" s="265">
        <v>0</v>
      </c>
      <c r="H558" s="265">
        <v>0</v>
      </c>
      <c r="I558" s="265">
        <v>0</v>
      </c>
      <c r="J558" s="265">
        <v>220</v>
      </c>
      <c r="K558" s="265">
        <v>1419</v>
      </c>
      <c r="L558" s="265">
        <v>3247.13</v>
      </c>
      <c r="M558" s="274">
        <v>0</v>
      </c>
      <c r="N558" s="265">
        <v>0</v>
      </c>
      <c r="O558" s="265">
        <v>0</v>
      </c>
      <c r="P558" s="265">
        <v>0</v>
      </c>
      <c r="Q558" s="265">
        <v>0</v>
      </c>
      <c r="R558" s="265">
        <v>0</v>
      </c>
      <c r="S558" s="265">
        <f t="shared" si="159"/>
        <v>4886.13</v>
      </c>
      <c r="T558" s="265">
        <v>50000</v>
      </c>
      <c r="U558" s="265">
        <f t="shared" si="160"/>
        <v>45113.87</v>
      </c>
      <c r="V558" s="262">
        <f t="shared" si="161"/>
        <v>9.7722600000000007E-2</v>
      </c>
      <c r="W558" s="263"/>
    </row>
    <row r="559" spans="1:23" x14ac:dyDescent="0.25">
      <c r="A559" t="s">
        <v>55</v>
      </c>
      <c r="B559" t="s">
        <v>208</v>
      </c>
      <c r="C559" t="s">
        <v>207</v>
      </c>
      <c r="D559" s="283">
        <v>5979.22</v>
      </c>
      <c r="E559" s="283">
        <v>20000</v>
      </c>
      <c r="G559" s="265">
        <v>0</v>
      </c>
      <c r="H559" s="265">
        <v>0</v>
      </c>
      <c r="I559" s="265">
        <v>20.8</v>
      </c>
      <c r="J559" s="265">
        <v>29.779999999999998</v>
      </c>
      <c r="K559" s="265">
        <v>0</v>
      </c>
      <c r="L559" s="265">
        <v>0</v>
      </c>
      <c r="M559" s="274">
        <v>0</v>
      </c>
      <c r="N559" s="265">
        <v>0</v>
      </c>
      <c r="O559" s="265">
        <v>0</v>
      </c>
      <c r="P559" s="265">
        <v>0</v>
      </c>
      <c r="Q559" s="265">
        <v>0</v>
      </c>
      <c r="R559" s="265">
        <v>0</v>
      </c>
      <c r="S559" s="265">
        <f t="shared" si="159"/>
        <v>50.58</v>
      </c>
      <c r="T559" s="265">
        <v>20000</v>
      </c>
      <c r="U559" s="265">
        <f t="shared" si="160"/>
        <v>19949.419999999998</v>
      </c>
      <c r="V559" s="262">
        <f t="shared" si="161"/>
        <v>2.529E-3</v>
      </c>
      <c r="W559" s="263"/>
    </row>
    <row r="560" spans="1:23" x14ac:dyDescent="0.25">
      <c r="A560" t="s">
        <v>55</v>
      </c>
      <c r="B560" t="s">
        <v>206</v>
      </c>
      <c r="C560" t="s">
        <v>205</v>
      </c>
      <c r="D560" s="283">
        <v>182632.58</v>
      </c>
      <c r="E560" s="283">
        <v>70000</v>
      </c>
      <c r="G560" s="265">
        <v>392.3</v>
      </c>
      <c r="H560" s="265">
        <v>440.69999999999982</v>
      </c>
      <c r="I560" s="265">
        <v>2820.2</v>
      </c>
      <c r="J560" s="265">
        <v>3144.9500000000007</v>
      </c>
      <c r="K560" s="265">
        <v>2197.5500000000006</v>
      </c>
      <c r="L560" s="265">
        <v>0</v>
      </c>
      <c r="M560" s="274">
        <v>0</v>
      </c>
      <c r="N560" s="265">
        <v>0</v>
      </c>
      <c r="O560" s="265">
        <v>0</v>
      </c>
      <c r="P560" s="265">
        <v>0</v>
      </c>
      <c r="Q560" s="265">
        <v>0</v>
      </c>
      <c r="R560" s="265">
        <v>0</v>
      </c>
      <c r="S560" s="265">
        <f t="shared" si="159"/>
        <v>8995.7000000000007</v>
      </c>
      <c r="T560" s="265">
        <v>20000</v>
      </c>
      <c r="U560" s="265">
        <f t="shared" si="160"/>
        <v>11004.3</v>
      </c>
      <c r="V560" s="262">
        <f t="shared" si="161"/>
        <v>0.44978500000000005</v>
      </c>
      <c r="W560" s="263"/>
    </row>
    <row r="561" spans="1:23" x14ac:dyDescent="0.25">
      <c r="A561" t="s">
        <v>55</v>
      </c>
      <c r="B561" t="s">
        <v>204</v>
      </c>
      <c r="C561" t="s">
        <v>203</v>
      </c>
      <c r="D561" s="283">
        <v>0</v>
      </c>
      <c r="E561" s="283">
        <v>2000</v>
      </c>
      <c r="G561" s="265">
        <v>0</v>
      </c>
      <c r="H561" s="265">
        <v>0</v>
      </c>
      <c r="I561" s="265">
        <v>0</v>
      </c>
      <c r="J561" s="265">
        <v>0</v>
      </c>
      <c r="K561" s="265">
        <v>0</v>
      </c>
      <c r="L561" s="265">
        <v>0</v>
      </c>
      <c r="M561" s="274">
        <v>0</v>
      </c>
      <c r="N561" s="265">
        <v>0</v>
      </c>
      <c r="O561" s="265">
        <v>0</v>
      </c>
      <c r="P561" s="265">
        <v>0</v>
      </c>
      <c r="Q561" s="265">
        <v>0</v>
      </c>
      <c r="R561" s="265">
        <v>0</v>
      </c>
      <c r="S561" s="265">
        <f t="shared" si="159"/>
        <v>0</v>
      </c>
      <c r="T561" s="265">
        <v>2000</v>
      </c>
      <c r="U561" s="265">
        <f t="shared" si="160"/>
        <v>2000</v>
      </c>
      <c r="V561" s="262">
        <f t="shared" si="161"/>
        <v>0</v>
      </c>
      <c r="W561" s="263"/>
    </row>
    <row r="562" spans="1:23" x14ac:dyDescent="0.25">
      <c r="A562" t="s">
        <v>55</v>
      </c>
      <c r="B562" t="s">
        <v>202</v>
      </c>
      <c r="C562" t="s">
        <v>201</v>
      </c>
      <c r="D562" s="283">
        <v>89017.16</v>
      </c>
      <c r="E562" s="283">
        <v>10000</v>
      </c>
      <c r="G562" s="265">
        <v>0</v>
      </c>
      <c r="H562" s="265">
        <v>1550</v>
      </c>
      <c r="I562" s="265">
        <v>730.51</v>
      </c>
      <c r="J562" s="265">
        <v>1055</v>
      </c>
      <c r="K562" s="265">
        <v>298</v>
      </c>
      <c r="L562" s="265">
        <v>0</v>
      </c>
      <c r="M562" s="274">
        <v>0</v>
      </c>
      <c r="N562" s="265">
        <v>0</v>
      </c>
      <c r="O562" s="265">
        <v>0</v>
      </c>
      <c r="P562" s="265">
        <v>0</v>
      </c>
      <c r="Q562" s="265">
        <v>0</v>
      </c>
      <c r="R562" s="265">
        <v>0</v>
      </c>
      <c r="S562" s="265">
        <f t="shared" si="159"/>
        <v>3633.51</v>
      </c>
      <c r="T562" s="265">
        <v>10000</v>
      </c>
      <c r="U562" s="265">
        <f t="shared" si="160"/>
        <v>6366.49</v>
      </c>
      <c r="V562" s="262">
        <f t="shared" si="161"/>
        <v>0.36335100000000004</v>
      </c>
      <c r="W562" s="263"/>
    </row>
    <row r="563" spans="1:23" x14ac:dyDescent="0.25">
      <c r="A563" t="s">
        <v>55</v>
      </c>
      <c r="B563" t="s">
        <v>200</v>
      </c>
      <c r="C563" t="s">
        <v>199</v>
      </c>
      <c r="D563" s="283">
        <v>1215.28</v>
      </c>
      <c r="E563" s="283">
        <v>7000</v>
      </c>
      <c r="G563" s="265">
        <v>1764.33</v>
      </c>
      <c r="H563" s="265">
        <v>530</v>
      </c>
      <c r="I563" s="265">
        <v>315</v>
      </c>
      <c r="J563" s="265">
        <v>315</v>
      </c>
      <c r="K563" s="265">
        <v>630</v>
      </c>
      <c r="L563" s="265">
        <v>1830</v>
      </c>
      <c r="M563" s="274">
        <v>0</v>
      </c>
      <c r="N563" s="265">
        <v>0</v>
      </c>
      <c r="O563" s="265">
        <v>0</v>
      </c>
      <c r="P563" s="265">
        <v>0</v>
      </c>
      <c r="Q563" s="265">
        <v>0</v>
      </c>
      <c r="R563" s="265">
        <v>0</v>
      </c>
      <c r="S563" s="265">
        <f t="shared" si="159"/>
        <v>5384.33</v>
      </c>
      <c r="T563" s="265">
        <v>47000</v>
      </c>
      <c r="U563" s="265">
        <f t="shared" si="160"/>
        <v>41615.67</v>
      </c>
      <c r="V563" s="262">
        <f t="shared" si="161"/>
        <v>0.11456021276595744</v>
      </c>
      <c r="W563" s="263"/>
    </row>
    <row r="564" spans="1:23" x14ac:dyDescent="0.25">
      <c r="A564" t="s">
        <v>55</v>
      </c>
      <c r="B564" t="s">
        <v>198</v>
      </c>
      <c r="C564" t="s">
        <v>197</v>
      </c>
      <c r="D564" s="283">
        <v>0</v>
      </c>
      <c r="E564" s="283">
        <v>500</v>
      </c>
      <c r="G564" s="265">
        <v>0</v>
      </c>
      <c r="H564" s="265">
        <v>0</v>
      </c>
      <c r="I564" s="265">
        <v>0</v>
      </c>
      <c r="J564" s="265">
        <v>0</v>
      </c>
      <c r="K564" s="265">
        <v>0</v>
      </c>
      <c r="L564" s="265">
        <v>0</v>
      </c>
      <c r="M564" s="274">
        <v>0</v>
      </c>
      <c r="N564" s="265">
        <v>0</v>
      </c>
      <c r="O564" s="265">
        <v>0</v>
      </c>
      <c r="P564" s="265">
        <v>0</v>
      </c>
      <c r="Q564" s="265">
        <v>0</v>
      </c>
      <c r="R564" s="265">
        <v>0</v>
      </c>
      <c r="S564" s="265">
        <f t="shared" si="159"/>
        <v>0</v>
      </c>
      <c r="T564" s="265">
        <v>0</v>
      </c>
      <c r="U564" s="265">
        <f t="shared" si="160"/>
        <v>0</v>
      </c>
      <c r="V564" s="262">
        <v>0</v>
      </c>
      <c r="W564" s="263"/>
    </row>
    <row r="565" spans="1:23" x14ac:dyDescent="0.25">
      <c r="A565" t="s">
        <v>55</v>
      </c>
      <c r="B565" t="s">
        <v>907</v>
      </c>
      <c r="C565" t="s">
        <v>196</v>
      </c>
      <c r="D565" s="283">
        <v>41230.5</v>
      </c>
      <c r="E565" s="283">
        <v>5000</v>
      </c>
      <c r="G565" s="265">
        <v>1925</v>
      </c>
      <c r="H565" s="265">
        <v>1925</v>
      </c>
      <c r="I565" s="265">
        <v>1925</v>
      </c>
      <c r="J565" s="265">
        <v>1925</v>
      </c>
      <c r="K565" s="265">
        <v>1925</v>
      </c>
      <c r="L565" s="265">
        <v>1925</v>
      </c>
      <c r="M565" s="274">
        <v>0</v>
      </c>
      <c r="N565" s="265">
        <v>0</v>
      </c>
      <c r="O565" s="265">
        <v>0</v>
      </c>
      <c r="P565" s="265">
        <v>0</v>
      </c>
      <c r="Q565" s="265">
        <v>0</v>
      </c>
      <c r="R565" s="265">
        <v>0</v>
      </c>
      <c r="S565" s="265">
        <f t="shared" si="159"/>
        <v>11550</v>
      </c>
      <c r="T565" s="265">
        <v>0</v>
      </c>
      <c r="U565" s="265">
        <f t="shared" si="160"/>
        <v>-11550</v>
      </c>
      <c r="V565" s="262">
        <v>0</v>
      </c>
      <c r="W565" s="263"/>
    </row>
    <row r="566" spans="1:23" x14ac:dyDescent="0.25">
      <c r="A566" t="s">
        <v>55</v>
      </c>
      <c r="B566" t="s">
        <v>195</v>
      </c>
      <c r="C566" t="s">
        <v>194</v>
      </c>
      <c r="D566" s="283">
        <v>1620.44</v>
      </c>
      <c r="E566" s="283">
        <v>1000</v>
      </c>
      <c r="G566" s="265">
        <v>500.99</v>
      </c>
      <c r="H566" s="265">
        <v>0</v>
      </c>
      <c r="I566" s="265">
        <v>186.11</v>
      </c>
      <c r="J566" s="265">
        <v>0</v>
      </c>
      <c r="K566" s="265">
        <v>0</v>
      </c>
      <c r="L566" s="265">
        <v>0</v>
      </c>
      <c r="M566" s="265">
        <v>0</v>
      </c>
      <c r="N566" s="265">
        <v>0</v>
      </c>
      <c r="O566" s="265">
        <v>0</v>
      </c>
      <c r="P566" s="265">
        <v>0</v>
      </c>
      <c r="Q566" s="265">
        <v>0</v>
      </c>
      <c r="R566" s="265">
        <v>0</v>
      </c>
      <c r="S566" s="265">
        <f t="shared" si="159"/>
        <v>687.1</v>
      </c>
      <c r="T566" s="265">
        <v>3000</v>
      </c>
      <c r="U566" s="265">
        <f t="shared" si="160"/>
        <v>2312.9</v>
      </c>
      <c r="V566" s="262">
        <f t="shared" si="161"/>
        <v>0.22903333333333334</v>
      </c>
      <c r="W566" s="263"/>
    </row>
    <row r="567" spans="1:23" x14ac:dyDescent="0.25">
      <c r="A567" t="s">
        <v>55</v>
      </c>
      <c r="B567" t="s">
        <v>193</v>
      </c>
      <c r="C567" t="s">
        <v>192</v>
      </c>
      <c r="D567" s="283">
        <v>16270.71</v>
      </c>
      <c r="E567" s="283">
        <v>15000</v>
      </c>
      <c r="G567" s="265">
        <v>1552.1000000000001</v>
      </c>
      <c r="H567" s="265">
        <v>2045.16</v>
      </c>
      <c r="I567" s="265">
        <v>1027.8400000000001</v>
      </c>
      <c r="J567" s="265">
        <v>861.48</v>
      </c>
      <c r="K567" s="265">
        <v>770.07999999999959</v>
      </c>
      <c r="L567" s="265">
        <v>647.04</v>
      </c>
      <c r="M567" s="265">
        <v>0</v>
      </c>
      <c r="N567" s="265">
        <v>0</v>
      </c>
      <c r="O567" s="265">
        <v>0</v>
      </c>
      <c r="P567" s="265">
        <v>0</v>
      </c>
      <c r="Q567" s="265">
        <v>0</v>
      </c>
      <c r="R567" s="265">
        <v>0</v>
      </c>
      <c r="S567" s="265">
        <f t="shared" si="159"/>
        <v>6903.7</v>
      </c>
      <c r="T567" s="265">
        <v>13500</v>
      </c>
      <c r="U567" s="265">
        <f t="shared" si="160"/>
        <v>6596.3</v>
      </c>
      <c r="V567" s="262">
        <f t="shared" si="161"/>
        <v>0.51138518518518516</v>
      </c>
      <c r="W567" s="263"/>
    </row>
    <row r="568" spans="1:23" x14ac:dyDescent="0.25">
      <c r="B568" t="s">
        <v>191</v>
      </c>
      <c r="C568" t="s">
        <v>190</v>
      </c>
      <c r="D568" s="283">
        <v>340.25</v>
      </c>
      <c r="E568" s="283">
        <v>0</v>
      </c>
      <c r="G568" s="265">
        <v>0</v>
      </c>
      <c r="H568" s="265">
        <v>0</v>
      </c>
      <c r="I568" s="265">
        <v>0</v>
      </c>
      <c r="J568" s="265">
        <v>0</v>
      </c>
      <c r="K568" s="265">
        <v>0</v>
      </c>
      <c r="L568" s="265">
        <v>0</v>
      </c>
      <c r="M568" s="265">
        <v>0</v>
      </c>
      <c r="N568" s="265">
        <v>0</v>
      </c>
      <c r="O568" s="265">
        <v>0</v>
      </c>
      <c r="P568" s="265">
        <v>0</v>
      </c>
      <c r="Q568" s="265">
        <v>0</v>
      </c>
      <c r="R568" s="265">
        <v>0</v>
      </c>
      <c r="S568" s="265">
        <f t="shared" si="159"/>
        <v>0</v>
      </c>
      <c r="T568" s="265">
        <v>0</v>
      </c>
      <c r="U568" s="265">
        <f t="shared" si="160"/>
        <v>0</v>
      </c>
      <c r="V568" s="262">
        <v>0</v>
      </c>
      <c r="W568" s="263"/>
    </row>
    <row r="569" spans="1:23" x14ac:dyDescent="0.25">
      <c r="A569" t="s">
        <v>55</v>
      </c>
      <c r="B569" t="s">
        <v>189</v>
      </c>
      <c r="C569" t="s">
        <v>188</v>
      </c>
      <c r="D569" s="283">
        <v>0</v>
      </c>
      <c r="E569" s="283">
        <v>250</v>
      </c>
      <c r="G569" s="265">
        <v>0</v>
      </c>
      <c r="H569" s="265">
        <v>0</v>
      </c>
      <c r="I569" s="265">
        <v>0</v>
      </c>
      <c r="J569" s="265">
        <v>0</v>
      </c>
      <c r="K569" s="265">
        <v>0</v>
      </c>
      <c r="L569" s="265">
        <v>0</v>
      </c>
      <c r="M569" s="265">
        <v>0</v>
      </c>
      <c r="N569" s="265">
        <v>0</v>
      </c>
      <c r="O569" s="265">
        <v>0</v>
      </c>
      <c r="P569" s="265">
        <v>0</v>
      </c>
      <c r="Q569" s="265">
        <v>0</v>
      </c>
      <c r="R569" s="265">
        <v>0</v>
      </c>
      <c r="S569" s="265">
        <f t="shared" si="159"/>
        <v>0</v>
      </c>
      <c r="T569" s="265">
        <v>500</v>
      </c>
      <c r="U569" s="265">
        <f t="shared" si="160"/>
        <v>500</v>
      </c>
      <c r="V569" s="262">
        <f t="shared" si="161"/>
        <v>0</v>
      </c>
      <c r="W569" s="263"/>
    </row>
    <row r="570" spans="1:23" ht="15.75" thickBot="1" x14ac:dyDescent="0.3">
      <c r="D570" s="363">
        <v>598154.27999999991</v>
      </c>
      <c r="E570" s="273">
        <f t="shared" ref="E570:P570" si="162">SUM(E548:E569)</f>
        <v>370109.8</v>
      </c>
      <c r="F570" s="350"/>
      <c r="G570" s="273">
        <f t="shared" si="162"/>
        <v>12736.869999999999</v>
      </c>
      <c r="H570" s="273">
        <f t="shared" si="162"/>
        <v>25579.238686091936</v>
      </c>
      <c r="I570" s="273">
        <f t="shared" si="162"/>
        <v>18145.41</v>
      </c>
      <c r="J570" s="273">
        <f t="shared" si="162"/>
        <v>48833.281313908061</v>
      </c>
      <c r="K570" s="273">
        <f t="shared" si="162"/>
        <v>10404.52</v>
      </c>
      <c r="L570" s="273">
        <f t="shared" si="162"/>
        <v>20530.84</v>
      </c>
      <c r="M570" s="273">
        <f t="shared" si="162"/>
        <v>0</v>
      </c>
      <c r="N570" s="273">
        <f t="shared" si="162"/>
        <v>0</v>
      </c>
      <c r="O570" s="273">
        <f t="shared" si="162"/>
        <v>0</v>
      </c>
      <c r="P570" s="273">
        <f t="shared" si="162"/>
        <v>0</v>
      </c>
      <c r="Q570" s="273">
        <f t="shared" ref="Q570" si="163">SUM(Q548:Q569)</f>
        <v>0</v>
      </c>
      <c r="R570" s="273">
        <f t="shared" ref="R570" si="164">SUM(R548:R569)</f>
        <v>0</v>
      </c>
      <c r="S570" s="273">
        <f>SUM(S548:S569)</f>
        <v>136230.16000000003</v>
      </c>
      <c r="T570" s="273">
        <f>SUM(T548:T569)</f>
        <v>365803.05</v>
      </c>
      <c r="U570" s="273">
        <f>SUM(U548:U569)</f>
        <v>229572.88999999993</v>
      </c>
      <c r="V570" s="272">
        <f>S570/T570</f>
        <v>0.37241395335550109</v>
      </c>
      <c r="W570" s="263"/>
    </row>
    <row r="571" spans="1:23" ht="15.75" thickTop="1" x14ac:dyDescent="0.25">
      <c r="A571" t="s">
        <v>187</v>
      </c>
      <c r="G571" s="265"/>
      <c r="H571" s="265"/>
      <c r="I571" s="265"/>
      <c r="J571" s="265"/>
      <c r="K571" s="265"/>
      <c r="L571" s="265"/>
      <c r="M571" s="274"/>
      <c r="N571" s="265"/>
      <c r="O571" s="265"/>
      <c r="P571" s="265"/>
      <c r="Q571" s="265"/>
      <c r="R571" s="265"/>
      <c r="S571" s="265"/>
      <c r="T571" s="265"/>
      <c r="U571" s="265"/>
      <c r="W571" s="263"/>
    </row>
    <row r="572" spans="1:23" x14ac:dyDescent="0.25">
      <c r="A572" t="s">
        <v>55</v>
      </c>
      <c r="B572" t="s">
        <v>186</v>
      </c>
      <c r="C572" t="s">
        <v>185</v>
      </c>
      <c r="D572" s="283">
        <v>110017.88</v>
      </c>
      <c r="E572" s="283">
        <v>139647.53</v>
      </c>
      <c r="G572" s="265">
        <v>11575.43</v>
      </c>
      <c r="H572" s="265">
        <v>11551.84</v>
      </c>
      <c r="I572" s="265">
        <v>16185.999999999996</v>
      </c>
      <c r="J572" s="265">
        <v>14862.6</v>
      </c>
      <c r="K572" s="265">
        <v>13442.6</v>
      </c>
      <c r="L572" s="265">
        <v>13551.12</v>
      </c>
      <c r="M572" s="274">
        <v>0</v>
      </c>
      <c r="N572" s="265">
        <v>0</v>
      </c>
      <c r="O572" s="265">
        <v>0</v>
      </c>
      <c r="P572" s="265">
        <v>0</v>
      </c>
      <c r="Q572" s="265">
        <v>0</v>
      </c>
      <c r="R572" s="265">
        <v>0</v>
      </c>
      <c r="S572" s="265">
        <f t="shared" ref="S572:S577" si="165">SUM(G572:R572)</f>
        <v>81169.59</v>
      </c>
      <c r="T572" s="265">
        <v>125000</v>
      </c>
      <c r="U572" s="265">
        <f t="shared" ref="U572:U577" si="166">T572-S572</f>
        <v>43830.41</v>
      </c>
      <c r="V572" s="262">
        <f t="shared" ref="V572:V578" si="167">S572/T572</f>
        <v>0.64935672</v>
      </c>
      <c r="W572" s="263"/>
    </row>
    <row r="573" spans="1:23" x14ac:dyDescent="0.25">
      <c r="A573" t="s">
        <v>55</v>
      </c>
      <c r="B573" t="s">
        <v>184</v>
      </c>
      <c r="C573" t="s">
        <v>183</v>
      </c>
      <c r="D573" s="283">
        <v>8181.58</v>
      </c>
      <c r="E573" s="283">
        <v>1008</v>
      </c>
      <c r="G573" s="265">
        <v>573.15999999999985</v>
      </c>
      <c r="H573" s="265">
        <v>588.21</v>
      </c>
      <c r="I573" s="265">
        <v>761.87</v>
      </c>
      <c r="J573" s="265">
        <v>531.36</v>
      </c>
      <c r="K573" s="265">
        <v>672.63</v>
      </c>
      <c r="L573" s="265">
        <v>672.63</v>
      </c>
      <c r="M573" s="274">
        <v>0</v>
      </c>
      <c r="N573" s="265">
        <v>0</v>
      </c>
      <c r="O573" s="265">
        <v>0</v>
      </c>
      <c r="P573" s="265">
        <v>0</v>
      </c>
      <c r="Q573" s="265">
        <v>0</v>
      </c>
      <c r="R573" s="265">
        <v>0</v>
      </c>
      <c r="S573" s="265">
        <f t="shared" si="165"/>
        <v>3799.86</v>
      </c>
      <c r="T573" s="265">
        <v>8400</v>
      </c>
      <c r="U573" s="265">
        <f t="shared" si="166"/>
        <v>4600.1399999999994</v>
      </c>
      <c r="V573" s="262">
        <f t="shared" si="167"/>
        <v>0.45236428571428572</v>
      </c>
      <c r="W573" s="263"/>
    </row>
    <row r="574" spans="1:23" x14ac:dyDescent="0.25">
      <c r="A574" t="s">
        <v>55</v>
      </c>
      <c r="B574" t="s">
        <v>182</v>
      </c>
      <c r="C574" t="s">
        <v>181</v>
      </c>
      <c r="D574" s="283">
        <v>1449.13</v>
      </c>
      <c r="E574" s="283">
        <v>1202.6400000000001</v>
      </c>
      <c r="G574" s="265">
        <v>103.12</v>
      </c>
      <c r="H574" s="265">
        <v>215.2</v>
      </c>
      <c r="I574" s="265">
        <v>0</v>
      </c>
      <c r="J574" s="265">
        <v>221.2</v>
      </c>
      <c r="K574" s="265">
        <v>0</v>
      </c>
      <c r="L574" s="265">
        <v>221.2</v>
      </c>
      <c r="M574" s="274">
        <v>0</v>
      </c>
      <c r="N574" s="265">
        <v>0</v>
      </c>
      <c r="O574" s="265">
        <v>0</v>
      </c>
      <c r="P574" s="265">
        <v>0</v>
      </c>
      <c r="Q574" s="265">
        <v>0</v>
      </c>
      <c r="R574" s="265">
        <v>0</v>
      </c>
      <c r="S574" s="265">
        <f t="shared" si="165"/>
        <v>760.72</v>
      </c>
      <c r="T574" s="265">
        <v>1500</v>
      </c>
      <c r="U574" s="265">
        <f t="shared" si="166"/>
        <v>739.28</v>
      </c>
      <c r="V574" s="262">
        <f t="shared" si="167"/>
        <v>0.50714666666666663</v>
      </c>
      <c r="W574" s="263"/>
    </row>
    <row r="575" spans="1:23" x14ac:dyDescent="0.25">
      <c r="A575" t="s">
        <v>55</v>
      </c>
      <c r="B575" t="s">
        <v>180</v>
      </c>
      <c r="C575" t="s">
        <v>179</v>
      </c>
      <c r="D575" s="283">
        <v>0</v>
      </c>
      <c r="E575" s="283">
        <v>6064.2</v>
      </c>
      <c r="G575" s="265">
        <v>0</v>
      </c>
      <c r="H575" s="265">
        <v>0</v>
      </c>
      <c r="I575" s="265">
        <v>0</v>
      </c>
      <c r="J575" s="265">
        <v>0</v>
      </c>
      <c r="K575" s="265">
        <v>0</v>
      </c>
      <c r="L575" s="265">
        <v>0</v>
      </c>
      <c r="M575" s="274">
        <v>0</v>
      </c>
      <c r="N575" s="265">
        <v>0</v>
      </c>
      <c r="O575" s="265">
        <v>0</v>
      </c>
      <c r="P575" s="265">
        <v>0</v>
      </c>
      <c r="Q575" s="265">
        <v>0</v>
      </c>
      <c r="R575" s="265">
        <v>0</v>
      </c>
      <c r="S575" s="265">
        <f t="shared" si="165"/>
        <v>0</v>
      </c>
      <c r="T575" s="265">
        <v>1000</v>
      </c>
      <c r="U575" s="265">
        <f t="shared" si="166"/>
        <v>1000</v>
      </c>
      <c r="V575" s="262">
        <f t="shared" si="167"/>
        <v>0</v>
      </c>
      <c r="W575" s="263"/>
    </row>
    <row r="576" spans="1:23" x14ac:dyDescent="0.25">
      <c r="A576" t="s">
        <v>55</v>
      </c>
      <c r="B576" t="s">
        <v>178</v>
      </c>
      <c r="C576" t="s">
        <v>177</v>
      </c>
      <c r="D576" s="283">
        <v>5780.09</v>
      </c>
      <c r="E576" s="283">
        <v>3204</v>
      </c>
      <c r="G576" s="265">
        <v>555.16999999999985</v>
      </c>
      <c r="H576" s="265">
        <v>505.95</v>
      </c>
      <c r="I576" s="265">
        <v>505.95</v>
      </c>
      <c r="J576" s="265">
        <v>505.95</v>
      </c>
      <c r="K576" s="265">
        <v>505.95</v>
      </c>
      <c r="L576" s="265">
        <v>-646.91</v>
      </c>
      <c r="M576" s="274">
        <v>0</v>
      </c>
      <c r="N576" s="265">
        <v>0</v>
      </c>
      <c r="O576" s="265">
        <v>0</v>
      </c>
      <c r="P576" s="265">
        <v>0</v>
      </c>
      <c r="Q576" s="265">
        <v>0</v>
      </c>
      <c r="R576" s="265">
        <v>0</v>
      </c>
      <c r="S576" s="265">
        <f t="shared" si="165"/>
        <v>1932.06</v>
      </c>
      <c r="T576" s="265">
        <v>750</v>
      </c>
      <c r="U576" s="265">
        <f t="shared" si="166"/>
        <v>-1182.06</v>
      </c>
      <c r="V576" s="262">
        <f t="shared" si="167"/>
        <v>2.5760800000000001</v>
      </c>
      <c r="W576" s="263"/>
    </row>
    <row r="577" spans="1:23" x14ac:dyDescent="0.25">
      <c r="A577" t="s">
        <v>55</v>
      </c>
      <c r="B577" t="s">
        <v>176</v>
      </c>
      <c r="C577" t="s">
        <v>175</v>
      </c>
      <c r="D577" s="283">
        <v>646.02</v>
      </c>
      <c r="E577" s="283">
        <v>294.95999999999998</v>
      </c>
      <c r="G577" s="265">
        <v>56.1</v>
      </c>
      <c r="H577" s="265">
        <v>56.1</v>
      </c>
      <c r="I577" s="265">
        <v>56.1</v>
      </c>
      <c r="J577" s="265">
        <v>56.1</v>
      </c>
      <c r="K577" s="265">
        <v>56.1</v>
      </c>
      <c r="L577" s="265">
        <v>56.1</v>
      </c>
      <c r="M577" s="274">
        <v>0</v>
      </c>
      <c r="N577" s="265">
        <v>0</v>
      </c>
      <c r="O577" s="265">
        <v>0</v>
      </c>
      <c r="P577" s="265">
        <v>0</v>
      </c>
      <c r="Q577" s="265">
        <v>0</v>
      </c>
      <c r="R577" s="265">
        <v>0</v>
      </c>
      <c r="S577" s="265">
        <f t="shared" si="165"/>
        <v>336.6</v>
      </c>
      <c r="T577" s="265">
        <v>294.95999999999998</v>
      </c>
      <c r="U577" s="265">
        <f t="shared" si="166"/>
        <v>-41.640000000000043</v>
      </c>
      <c r="V577" s="262">
        <f t="shared" si="167"/>
        <v>1.1411716842961759</v>
      </c>
      <c r="W577" s="263"/>
    </row>
    <row r="578" spans="1:23" ht="15.75" thickBot="1" x14ac:dyDescent="0.3">
      <c r="D578" s="363">
        <v>126074.70000000001</v>
      </c>
      <c r="E578" s="273">
        <v>151421.33000000002</v>
      </c>
      <c r="F578" s="350"/>
      <c r="G578" s="273">
        <f t="shared" ref="G578:P578" si="168">SUM(G572:G577)</f>
        <v>12862.980000000001</v>
      </c>
      <c r="H578" s="273">
        <f>SUM(H572:H577)</f>
        <v>12917.300000000001</v>
      </c>
      <c r="I578" s="273">
        <f t="shared" si="168"/>
        <v>17509.919999999995</v>
      </c>
      <c r="J578" s="273">
        <f t="shared" si="168"/>
        <v>16177.210000000003</v>
      </c>
      <c r="K578" s="273">
        <f t="shared" si="168"/>
        <v>14677.28</v>
      </c>
      <c r="L578" s="273">
        <f t="shared" si="168"/>
        <v>13854.140000000001</v>
      </c>
      <c r="M578" s="275">
        <f t="shared" si="168"/>
        <v>0</v>
      </c>
      <c r="N578" s="273">
        <f t="shared" si="168"/>
        <v>0</v>
      </c>
      <c r="O578" s="273">
        <f t="shared" si="168"/>
        <v>0</v>
      </c>
      <c r="P578" s="273">
        <f t="shared" si="168"/>
        <v>0</v>
      </c>
      <c r="Q578" s="273">
        <f t="shared" ref="Q578" si="169">SUM(Q572:Q577)</f>
        <v>0</v>
      </c>
      <c r="R578" s="273">
        <f t="shared" ref="R578" si="170">SUM(R572:R577)</f>
        <v>0</v>
      </c>
      <c r="S578" s="273">
        <f>SUM(S572:S577)</f>
        <v>87998.83</v>
      </c>
      <c r="T578" s="273">
        <f>SUM(T572:T577)</f>
        <v>136944.95999999999</v>
      </c>
      <c r="U578" s="273">
        <f>SUM(U572:U577)</f>
        <v>48946.130000000005</v>
      </c>
      <c r="V578" s="272">
        <f t="shared" si="167"/>
        <v>0.64258538612885063</v>
      </c>
      <c r="W578" s="263"/>
    </row>
    <row r="579" spans="1:23" ht="15.75" thickTop="1" x14ac:dyDescent="0.25">
      <c r="G579" s="265"/>
      <c r="H579" s="265"/>
      <c r="I579" s="265"/>
      <c r="J579" s="265"/>
      <c r="K579" s="265"/>
      <c r="L579" s="265"/>
      <c r="M579" s="274"/>
      <c r="N579" s="265"/>
      <c r="O579" s="265"/>
      <c r="P579" s="265"/>
      <c r="Q579" s="265"/>
      <c r="R579" s="265"/>
      <c r="S579" s="265"/>
      <c r="T579" s="265"/>
      <c r="U579" s="265"/>
      <c r="W579" s="263"/>
    </row>
    <row r="580" spans="1:23" x14ac:dyDescent="0.25">
      <c r="A580" t="s">
        <v>174</v>
      </c>
      <c r="G580" s="265"/>
      <c r="H580" s="265"/>
      <c r="I580" s="265"/>
      <c r="J580" s="265"/>
      <c r="K580" s="265"/>
      <c r="L580" s="265"/>
      <c r="M580" s="274"/>
      <c r="N580" s="265"/>
      <c r="O580" s="265"/>
      <c r="P580" s="265"/>
      <c r="Q580" s="265"/>
      <c r="R580" s="265"/>
      <c r="S580" s="265"/>
      <c r="T580" s="265"/>
      <c r="U580" s="265"/>
      <c r="W580" s="263"/>
    </row>
    <row r="581" spans="1:23" x14ac:dyDescent="0.25">
      <c r="B581" t="s">
        <v>173</v>
      </c>
      <c r="C581" t="s">
        <v>172</v>
      </c>
      <c r="D581" s="283">
        <v>5823.05</v>
      </c>
      <c r="E581" s="283">
        <v>5500</v>
      </c>
      <c r="G581" s="265">
        <v>45</v>
      </c>
      <c r="H581" s="265">
        <v>180</v>
      </c>
      <c r="I581" s="265">
        <v>0</v>
      </c>
      <c r="J581" s="265">
        <v>0</v>
      </c>
      <c r="K581" s="265">
        <v>0</v>
      </c>
      <c r="L581" s="265">
        <v>0</v>
      </c>
      <c r="M581" s="274">
        <v>0</v>
      </c>
      <c r="N581" s="265">
        <v>0</v>
      </c>
      <c r="O581" s="265">
        <v>0</v>
      </c>
      <c r="P581" s="265">
        <v>0</v>
      </c>
      <c r="Q581" s="265">
        <v>0</v>
      </c>
      <c r="R581" s="265">
        <v>0</v>
      </c>
      <c r="S581" s="265">
        <f t="shared" ref="S581:S595" si="171">SUM(G581:R581)</f>
        <v>225</v>
      </c>
      <c r="T581" s="265">
        <v>5000</v>
      </c>
      <c r="U581" s="265">
        <f t="shared" ref="U581:U595" si="172">T581-S581</f>
        <v>4775</v>
      </c>
      <c r="V581" s="262">
        <f>S581/T581</f>
        <v>4.4999999999999998E-2</v>
      </c>
      <c r="W581" s="263"/>
    </row>
    <row r="582" spans="1:23" x14ac:dyDescent="0.25">
      <c r="B582" t="s">
        <v>908</v>
      </c>
      <c r="C582" t="s">
        <v>909</v>
      </c>
      <c r="D582" s="283">
        <v>0</v>
      </c>
      <c r="E582" s="283">
        <v>0</v>
      </c>
      <c r="G582" s="265">
        <v>180</v>
      </c>
      <c r="H582" s="265">
        <v>0</v>
      </c>
      <c r="I582" s="265">
        <v>0</v>
      </c>
      <c r="J582" s="265">
        <v>0</v>
      </c>
      <c r="K582" s="265">
        <v>0</v>
      </c>
      <c r="L582" s="265">
        <v>0</v>
      </c>
      <c r="M582" s="274">
        <v>0</v>
      </c>
      <c r="N582" s="265">
        <v>0</v>
      </c>
      <c r="O582" s="265">
        <v>0</v>
      </c>
      <c r="P582" s="265">
        <v>0</v>
      </c>
      <c r="Q582" s="265">
        <v>0</v>
      </c>
      <c r="R582" s="265">
        <v>0</v>
      </c>
      <c r="S582" s="265">
        <f t="shared" si="171"/>
        <v>180</v>
      </c>
      <c r="T582" s="265">
        <v>0</v>
      </c>
      <c r="U582" s="265">
        <f t="shared" si="172"/>
        <v>-180</v>
      </c>
      <c r="V582" s="262">
        <v>0</v>
      </c>
      <c r="W582" s="263"/>
    </row>
    <row r="583" spans="1:23" x14ac:dyDescent="0.25">
      <c r="B583" t="s">
        <v>171</v>
      </c>
      <c r="C583" t="s">
        <v>170</v>
      </c>
      <c r="D583" s="283">
        <v>284.92</v>
      </c>
      <c r="E583" s="283">
        <v>0</v>
      </c>
      <c r="G583" s="265">
        <v>0</v>
      </c>
      <c r="H583" s="265">
        <v>0</v>
      </c>
      <c r="I583" s="265">
        <v>0</v>
      </c>
      <c r="J583" s="265">
        <v>0</v>
      </c>
      <c r="K583" s="265">
        <v>0</v>
      </c>
      <c r="L583" s="265">
        <v>0</v>
      </c>
      <c r="M583" s="274">
        <v>0</v>
      </c>
      <c r="N583" s="265">
        <v>0</v>
      </c>
      <c r="O583" s="265">
        <v>0</v>
      </c>
      <c r="P583" s="265">
        <v>0</v>
      </c>
      <c r="Q583" s="265">
        <v>0</v>
      </c>
      <c r="R583" s="265">
        <v>0</v>
      </c>
      <c r="S583" s="265">
        <f t="shared" si="171"/>
        <v>0</v>
      </c>
      <c r="T583" s="265">
        <v>0</v>
      </c>
      <c r="U583" s="265">
        <f t="shared" si="172"/>
        <v>0</v>
      </c>
      <c r="V583" s="262">
        <v>0</v>
      </c>
      <c r="W583" s="263"/>
    </row>
    <row r="584" spans="1:23" x14ac:dyDescent="0.25">
      <c r="A584" t="s">
        <v>55</v>
      </c>
      <c r="B584" t="s">
        <v>169</v>
      </c>
      <c r="C584" t="s">
        <v>168</v>
      </c>
      <c r="D584" s="283">
        <v>25203.66</v>
      </c>
      <c r="E584" s="283">
        <v>22500</v>
      </c>
      <c r="G584" s="265">
        <v>67.420000000000073</v>
      </c>
      <c r="H584" s="265">
        <v>4244.72</v>
      </c>
      <c r="I584" s="265">
        <v>459.18999999999994</v>
      </c>
      <c r="J584" s="265">
        <v>423.89</v>
      </c>
      <c r="K584" s="265">
        <v>0</v>
      </c>
      <c r="L584" s="265">
        <v>3351.86</v>
      </c>
      <c r="M584" s="274">
        <v>0</v>
      </c>
      <c r="N584" s="265">
        <v>0</v>
      </c>
      <c r="O584" s="265">
        <v>0</v>
      </c>
      <c r="P584" s="265">
        <v>0</v>
      </c>
      <c r="Q584" s="265">
        <v>0</v>
      </c>
      <c r="R584" s="265">
        <v>0</v>
      </c>
      <c r="S584" s="265">
        <f t="shared" si="171"/>
        <v>8547.08</v>
      </c>
      <c r="T584" s="265">
        <v>22500</v>
      </c>
      <c r="U584" s="265">
        <f t="shared" si="172"/>
        <v>13952.92</v>
      </c>
      <c r="V584" s="262">
        <f t="shared" ref="V584:V592" si="173">S584/T584</f>
        <v>0.37987022222222222</v>
      </c>
      <c r="W584" s="263"/>
    </row>
    <row r="585" spans="1:23" x14ac:dyDescent="0.25">
      <c r="A585" t="s">
        <v>55</v>
      </c>
      <c r="B585" t="s">
        <v>167</v>
      </c>
      <c r="C585" t="s">
        <v>166</v>
      </c>
      <c r="D585" s="283">
        <v>6540.61</v>
      </c>
      <c r="E585" s="283">
        <v>3700</v>
      </c>
      <c r="G585" s="265">
        <v>1947.6299999999999</v>
      </c>
      <c r="H585" s="265">
        <v>389.03</v>
      </c>
      <c r="I585" s="265">
        <v>1108.3900000000001</v>
      </c>
      <c r="J585" s="265">
        <v>622.78</v>
      </c>
      <c r="K585" s="265">
        <v>1195.7399999999998</v>
      </c>
      <c r="L585" s="265">
        <v>618.97</v>
      </c>
      <c r="M585" s="274">
        <v>0</v>
      </c>
      <c r="N585" s="265">
        <v>0</v>
      </c>
      <c r="O585" s="265">
        <v>0</v>
      </c>
      <c r="P585" s="265">
        <v>0</v>
      </c>
      <c r="Q585" s="265">
        <v>0</v>
      </c>
      <c r="R585" s="265">
        <v>0</v>
      </c>
      <c r="S585" s="265">
        <f t="shared" si="171"/>
        <v>5882.54</v>
      </c>
      <c r="T585" s="265">
        <v>2500</v>
      </c>
      <c r="U585" s="265">
        <f t="shared" si="172"/>
        <v>-3382.54</v>
      </c>
      <c r="V585" s="262">
        <f t="shared" si="173"/>
        <v>2.3530159999999998</v>
      </c>
      <c r="W585" s="263"/>
    </row>
    <row r="586" spans="1:23" x14ac:dyDescent="0.25">
      <c r="A586" t="s">
        <v>55</v>
      </c>
      <c r="B586" t="s">
        <v>165</v>
      </c>
      <c r="C586" t="s">
        <v>164</v>
      </c>
      <c r="D586" s="283">
        <v>849.22</v>
      </c>
      <c r="E586" s="283">
        <v>1000</v>
      </c>
      <c r="G586" s="265">
        <v>303.5</v>
      </c>
      <c r="H586" s="265">
        <f>140.64+91.5</f>
        <v>232.14</v>
      </c>
      <c r="I586" s="265">
        <v>290.8</v>
      </c>
      <c r="J586" s="265">
        <v>0</v>
      </c>
      <c r="K586" s="265">
        <v>0</v>
      </c>
      <c r="L586" s="265">
        <v>0</v>
      </c>
      <c r="M586" s="265">
        <v>0</v>
      </c>
      <c r="N586" s="265">
        <v>0</v>
      </c>
      <c r="O586" s="265">
        <v>0</v>
      </c>
      <c r="P586" s="265">
        <v>0</v>
      </c>
      <c r="Q586" s="265">
        <v>0</v>
      </c>
      <c r="R586" s="265">
        <v>0</v>
      </c>
      <c r="S586" s="265">
        <f t="shared" si="171"/>
        <v>826.44</v>
      </c>
      <c r="T586" s="265">
        <v>1500</v>
      </c>
      <c r="U586" s="265">
        <f t="shared" si="172"/>
        <v>673.56</v>
      </c>
      <c r="V586" s="262">
        <f t="shared" si="173"/>
        <v>0.55096000000000001</v>
      </c>
      <c r="W586" s="263"/>
    </row>
    <row r="587" spans="1:23" x14ac:dyDescent="0.25">
      <c r="A587" t="s">
        <v>55</v>
      </c>
      <c r="B587" t="s">
        <v>163</v>
      </c>
      <c r="C587" t="s">
        <v>162</v>
      </c>
      <c r="D587" s="283">
        <v>11689.46</v>
      </c>
      <c r="E587" s="283">
        <v>10000</v>
      </c>
      <c r="G587" s="265">
        <v>6112.45</v>
      </c>
      <c r="H587" s="265">
        <v>157.65000000000055</v>
      </c>
      <c r="I587" s="265">
        <v>164.29</v>
      </c>
      <c r="J587" s="265">
        <v>316.73999999999955</v>
      </c>
      <c r="K587" s="265">
        <v>299.11999999999989</v>
      </c>
      <c r="L587" s="265">
        <v>0</v>
      </c>
      <c r="M587" s="265">
        <v>0</v>
      </c>
      <c r="N587" s="265">
        <v>0</v>
      </c>
      <c r="O587" s="265">
        <v>0</v>
      </c>
      <c r="P587" s="265">
        <v>0</v>
      </c>
      <c r="Q587" s="265">
        <v>0</v>
      </c>
      <c r="R587" s="265">
        <v>0</v>
      </c>
      <c r="S587" s="265">
        <f t="shared" si="171"/>
        <v>7050.25</v>
      </c>
      <c r="T587" s="265">
        <v>10000</v>
      </c>
      <c r="U587" s="265">
        <f t="shared" si="172"/>
        <v>2949.75</v>
      </c>
      <c r="V587" s="262">
        <f t="shared" si="173"/>
        <v>0.70502500000000001</v>
      </c>
      <c r="W587" s="263"/>
    </row>
    <row r="588" spans="1:23" x14ac:dyDescent="0.25">
      <c r="A588" t="s">
        <v>55</v>
      </c>
      <c r="B588" t="s">
        <v>161</v>
      </c>
      <c r="C588" t="s">
        <v>160</v>
      </c>
      <c r="D588" s="283">
        <v>27351.759999999998</v>
      </c>
      <c r="E588" s="283">
        <v>60000</v>
      </c>
      <c r="G588" s="265">
        <v>0</v>
      </c>
      <c r="H588" s="265">
        <v>0</v>
      </c>
      <c r="I588" s="265">
        <v>0</v>
      </c>
      <c r="J588" s="265">
        <v>0</v>
      </c>
      <c r="K588" s="265">
        <v>0</v>
      </c>
      <c r="L588" s="265">
        <v>0</v>
      </c>
      <c r="M588" s="265">
        <v>0</v>
      </c>
      <c r="N588" s="265">
        <v>0</v>
      </c>
      <c r="O588" s="265">
        <v>0</v>
      </c>
      <c r="P588" s="265">
        <v>0</v>
      </c>
      <c r="Q588" s="265">
        <v>0</v>
      </c>
      <c r="R588" s="265">
        <v>0</v>
      </c>
      <c r="S588" s="265">
        <f t="shared" si="171"/>
        <v>0</v>
      </c>
      <c r="T588" s="265">
        <v>40000</v>
      </c>
      <c r="U588" s="265">
        <f t="shared" si="172"/>
        <v>40000</v>
      </c>
      <c r="V588" s="262">
        <f t="shared" si="173"/>
        <v>0</v>
      </c>
      <c r="W588" s="263"/>
    </row>
    <row r="589" spans="1:23" x14ac:dyDescent="0.25">
      <c r="A589" t="s">
        <v>55</v>
      </c>
      <c r="B589" t="s">
        <v>159</v>
      </c>
      <c r="C589" t="s">
        <v>158</v>
      </c>
      <c r="D589" s="283">
        <v>4309.2</v>
      </c>
      <c r="E589" s="283">
        <v>4500</v>
      </c>
      <c r="G589" s="265">
        <v>0</v>
      </c>
      <c r="H589" s="265">
        <v>0</v>
      </c>
      <c r="I589" s="265">
        <v>0</v>
      </c>
      <c r="J589" s="265">
        <v>0</v>
      </c>
      <c r="K589" s="265">
        <v>1800</v>
      </c>
      <c r="L589" s="265">
        <v>0</v>
      </c>
      <c r="M589" s="265">
        <v>0</v>
      </c>
      <c r="N589" s="265">
        <v>0</v>
      </c>
      <c r="O589" s="265">
        <v>0</v>
      </c>
      <c r="P589" s="265">
        <v>0</v>
      </c>
      <c r="Q589" s="265">
        <v>0</v>
      </c>
      <c r="R589" s="265">
        <v>0</v>
      </c>
      <c r="S589" s="265">
        <f t="shared" si="171"/>
        <v>1800</v>
      </c>
      <c r="T589" s="265">
        <v>5000</v>
      </c>
      <c r="U589" s="265">
        <f t="shared" si="172"/>
        <v>3200</v>
      </c>
      <c r="V589" s="262">
        <f t="shared" si="173"/>
        <v>0.36</v>
      </c>
      <c r="W589" s="263"/>
    </row>
    <row r="590" spans="1:23" x14ac:dyDescent="0.25">
      <c r="A590" t="s">
        <v>55</v>
      </c>
      <c r="B590" t="s">
        <v>157</v>
      </c>
      <c r="C590" t="s">
        <v>156</v>
      </c>
      <c r="D590" s="283">
        <v>5260</v>
      </c>
      <c r="E590" s="283">
        <v>0</v>
      </c>
      <c r="G590" s="265">
        <v>0</v>
      </c>
      <c r="H590" s="265">
        <v>0</v>
      </c>
      <c r="I590" s="265">
        <v>0</v>
      </c>
      <c r="J590" s="265">
        <v>0</v>
      </c>
      <c r="K590" s="265">
        <v>0</v>
      </c>
      <c r="L590" s="265">
        <v>0</v>
      </c>
      <c r="M590" s="265">
        <v>0</v>
      </c>
      <c r="N590" s="265">
        <v>0</v>
      </c>
      <c r="O590" s="265">
        <v>0</v>
      </c>
      <c r="P590" s="265">
        <v>0</v>
      </c>
      <c r="Q590" s="265">
        <v>0</v>
      </c>
      <c r="R590" s="265">
        <v>0</v>
      </c>
      <c r="S590" s="265">
        <f t="shared" si="171"/>
        <v>0</v>
      </c>
      <c r="T590" s="265">
        <v>0</v>
      </c>
      <c r="U590" s="265">
        <f t="shared" si="172"/>
        <v>0</v>
      </c>
      <c r="V590" s="262">
        <v>0</v>
      </c>
      <c r="W590" s="263"/>
    </row>
    <row r="591" spans="1:23" x14ac:dyDescent="0.25">
      <c r="A591" t="s">
        <v>55</v>
      </c>
      <c r="B591" t="s">
        <v>155</v>
      </c>
      <c r="C591" t="s">
        <v>154</v>
      </c>
      <c r="D591" s="283">
        <v>24446.46</v>
      </c>
      <c r="E591" s="283">
        <v>7500</v>
      </c>
      <c r="G591" s="265">
        <v>1347.5</v>
      </c>
      <c r="H591" s="265">
        <v>819.2</v>
      </c>
      <c r="I591" s="265">
        <v>5290</v>
      </c>
      <c r="J591" s="265">
        <v>0</v>
      </c>
      <c r="K591" s="265">
        <v>88.220000000000255</v>
      </c>
      <c r="L591" s="265">
        <v>0</v>
      </c>
      <c r="M591" s="265">
        <v>0</v>
      </c>
      <c r="N591" s="265">
        <v>0</v>
      </c>
      <c r="O591" s="265">
        <v>0</v>
      </c>
      <c r="P591" s="265">
        <v>0</v>
      </c>
      <c r="Q591" s="265">
        <v>0</v>
      </c>
      <c r="R591" s="265">
        <v>0</v>
      </c>
      <c r="S591" s="265">
        <f t="shared" si="171"/>
        <v>7544.92</v>
      </c>
      <c r="T591" s="265">
        <v>7500</v>
      </c>
      <c r="U591" s="265">
        <f t="shared" si="172"/>
        <v>-44.920000000000073</v>
      </c>
      <c r="V591" s="262">
        <f t="shared" si="173"/>
        <v>1.0059893333333334</v>
      </c>
      <c r="W591" s="263"/>
    </row>
    <row r="592" spans="1:23" x14ac:dyDescent="0.25">
      <c r="A592" t="s">
        <v>55</v>
      </c>
      <c r="B592" t="s">
        <v>153</v>
      </c>
      <c r="C592" t="s">
        <v>152</v>
      </c>
      <c r="D592" s="283">
        <v>193.54</v>
      </c>
      <c r="E592" s="283">
        <v>1500</v>
      </c>
      <c r="G592" s="265">
        <v>0</v>
      </c>
      <c r="H592" s="265">
        <v>0</v>
      </c>
      <c r="I592" s="265">
        <v>1777.65</v>
      </c>
      <c r="J592" s="265">
        <v>0</v>
      </c>
      <c r="K592" s="265">
        <v>0</v>
      </c>
      <c r="L592" s="265">
        <v>0</v>
      </c>
      <c r="M592" s="274">
        <v>0</v>
      </c>
      <c r="N592" s="265">
        <v>0</v>
      </c>
      <c r="O592" s="265">
        <v>0</v>
      </c>
      <c r="P592" s="265">
        <v>0</v>
      </c>
      <c r="Q592" s="265">
        <v>0</v>
      </c>
      <c r="R592" s="265">
        <v>0</v>
      </c>
      <c r="S592" s="265">
        <f t="shared" si="171"/>
        <v>1777.65</v>
      </c>
      <c r="T592" s="265">
        <v>1500</v>
      </c>
      <c r="U592" s="265">
        <f t="shared" si="172"/>
        <v>-277.65000000000009</v>
      </c>
      <c r="V592" s="262">
        <f t="shared" si="173"/>
        <v>1.1851</v>
      </c>
      <c r="W592" s="263"/>
    </row>
    <row r="593" spans="1:23" x14ac:dyDescent="0.25">
      <c r="A593" t="s">
        <v>55</v>
      </c>
      <c r="B593" t="s">
        <v>151</v>
      </c>
      <c r="C593" t="s">
        <v>150</v>
      </c>
      <c r="D593" s="283">
        <v>57058.67</v>
      </c>
      <c r="E593" s="283">
        <v>54000</v>
      </c>
      <c r="G593" s="265">
        <v>2572.6000000000004</v>
      </c>
      <c r="H593" s="265">
        <v>1018.52</v>
      </c>
      <c r="I593" s="265">
        <v>501.44999999999948</v>
      </c>
      <c r="J593" s="265">
        <v>808.73</v>
      </c>
      <c r="K593" s="265">
        <v>865.7</v>
      </c>
      <c r="L593" s="265">
        <v>1221.8499999999999</v>
      </c>
      <c r="M593" s="274">
        <v>0</v>
      </c>
      <c r="N593" s="265">
        <v>0</v>
      </c>
      <c r="O593" s="265">
        <v>0</v>
      </c>
      <c r="P593" s="265">
        <v>0</v>
      </c>
      <c r="Q593" s="265">
        <v>0</v>
      </c>
      <c r="R593" s="265">
        <v>0</v>
      </c>
      <c r="S593" s="265">
        <f t="shared" si="171"/>
        <v>6988.8499999999985</v>
      </c>
      <c r="T593" s="265">
        <v>0</v>
      </c>
      <c r="U593" s="265">
        <f t="shared" si="172"/>
        <v>-6988.8499999999985</v>
      </c>
      <c r="V593" s="262">
        <v>0</v>
      </c>
      <c r="W593" s="263"/>
    </row>
    <row r="594" spans="1:23" x14ac:dyDescent="0.25">
      <c r="A594" t="s">
        <v>55</v>
      </c>
      <c r="B594" t="s">
        <v>149</v>
      </c>
      <c r="C594" t="s">
        <v>148</v>
      </c>
      <c r="D594" s="283">
        <v>0</v>
      </c>
      <c r="E594" s="283">
        <v>15000</v>
      </c>
      <c r="G594" s="265">
        <v>0</v>
      </c>
      <c r="H594" s="265">
        <v>0</v>
      </c>
      <c r="I594" s="265">
        <v>0</v>
      </c>
      <c r="J594" s="265">
        <v>5000</v>
      </c>
      <c r="K594" s="265">
        <v>0</v>
      </c>
      <c r="L594" s="265">
        <v>0</v>
      </c>
      <c r="M594" s="274">
        <v>0</v>
      </c>
      <c r="N594" s="265">
        <v>0</v>
      </c>
      <c r="O594" s="265">
        <v>0</v>
      </c>
      <c r="P594" s="265">
        <v>0</v>
      </c>
      <c r="Q594" s="265">
        <v>0</v>
      </c>
      <c r="R594" s="265">
        <v>0</v>
      </c>
      <c r="S594" s="265">
        <f t="shared" si="171"/>
        <v>5000</v>
      </c>
      <c r="T594" s="265">
        <v>0</v>
      </c>
      <c r="U594" s="265">
        <f t="shared" si="172"/>
        <v>-5000</v>
      </c>
      <c r="V594" s="262">
        <v>0</v>
      </c>
      <c r="W594" s="263"/>
    </row>
    <row r="595" spans="1:23" x14ac:dyDescent="0.25">
      <c r="A595" t="s">
        <v>55</v>
      </c>
      <c r="B595" t="s">
        <v>147</v>
      </c>
      <c r="C595" t="s">
        <v>146</v>
      </c>
      <c r="D595" s="283">
        <v>2593.62</v>
      </c>
      <c r="E595" s="283">
        <v>1000</v>
      </c>
      <c r="G595" s="265">
        <v>714.81999999999994</v>
      </c>
      <c r="H595" s="265">
        <v>524.45000000000005</v>
      </c>
      <c r="I595" s="265">
        <v>451.01000000000022</v>
      </c>
      <c r="J595" s="265">
        <v>283.02999999999997</v>
      </c>
      <c r="K595" s="265">
        <v>624</v>
      </c>
      <c r="L595" s="265">
        <v>607.72</v>
      </c>
      <c r="M595" s="274">
        <v>0</v>
      </c>
      <c r="N595" s="265">
        <v>0</v>
      </c>
      <c r="O595" s="265">
        <v>0</v>
      </c>
      <c r="P595" s="265">
        <v>0</v>
      </c>
      <c r="Q595" s="265">
        <v>0</v>
      </c>
      <c r="R595" s="265">
        <v>0</v>
      </c>
      <c r="S595" s="265">
        <f t="shared" si="171"/>
        <v>3205.0300000000007</v>
      </c>
      <c r="T595" s="265">
        <v>0</v>
      </c>
      <c r="U595" s="265">
        <f t="shared" si="172"/>
        <v>-3205.0300000000007</v>
      </c>
      <c r="V595" s="262">
        <v>0</v>
      </c>
    </row>
    <row r="596" spans="1:23" ht="15.75" thickBot="1" x14ac:dyDescent="0.3">
      <c r="D596" s="363">
        <v>171604.16999999998</v>
      </c>
      <c r="E596" s="273">
        <v>186200</v>
      </c>
      <c r="F596" s="350"/>
      <c r="G596" s="273">
        <f t="shared" ref="G596:P596" si="174">SUM(G581:G595)</f>
        <v>13290.92</v>
      </c>
      <c r="H596" s="273">
        <f t="shared" si="174"/>
        <v>7565.71</v>
      </c>
      <c r="I596" s="273">
        <f t="shared" si="174"/>
        <v>10042.779999999999</v>
      </c>
      <c r="J596" s="273">
        <f t="shared" si="174"/>
        <v>7455.1699999999992</v>
      </c>
      <c r="K596" s="273">
        <f t="shared" si="174"/>
        <v>4872.78</v>
      </c>
      <c r="L596" s="273">
        <f t="shared" si="174"/>
        <v>5800.4000000000005</v>
      </c>
      <c r="M596" s="273">
        <f t="shared" si="174"/>
        <v>0</v>
      </c>
      <c r="N596" s="273">
        <f t="shared" si="174"/>
        <v>0</v>
      </c>
      <c r="O596" s="273">
        <f t="shared" si="174"/>
        <v>0</v>
      </c>
      <c r="P596" s="273">
        <f t="shared" si="174"/>
        <v>0</v>
      </c>
      <c r="Q596" s="273">
        <f t="shared" ref="Q596" si="175">SUM(Q581:Q595)</f>
        <v>0</v>
      </c>
      <c r="R596" s="273">
        <f t="shared" ref="R596" si="176">SUM(R581:R595)</f>
        <v>0</v>
      </c>
      <c r="S596" s="273">
        <f>SUM(S581:S595)</f>
        <v>49027.759999999995</v>
      </c>
      <c r="T596" s="273">
        <f>SUM(T581:T595)</f>
        <v>95500</v>
      </c>
      <c r="U596" s="273">
        <f>SUM(U581:U595)</f>
        <v>46472.24</v>
      </c>
      <c r="V596" s="272">
        <f>S596/T596</f>
        <v>0.51337968586387428</v>
      </c>
    </row>
    <row r="597" spans="1:23" ht="15.75" thickTop="1" x14ac:dyDescent="0.25">
      <c r="A597" t="s">
        <v>145</v>
      </c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W597" s="263"/>
    </row>
    <row r="598" spans="1:23" x14ac:dyDescent="0.25">
      <c r="A598" t="s">
        <v>55</v>
      </c>
      <c r="B598" t="s">
        <v>144</v>
      </c>
      <c r="C598" t="s">
        <v>143</v>
      </c>
      <c r="D598" s="283">
        <v>0</v>
      </c>
      <c r="E598" s="283">
        <v>90000</v>
      </c>
      <c r="G598" s="265">
        <v>0</v>
      </c>
      <c r="H598" s="265">
        <v>0</v>
      </c>
      <c r="I598" s="265">
        <v>0</v>
      </c>
      <c r="J598" s="265">
        <v>0</v>
      </c>
      <c r="K598" s="265">
        <v>0</v>
      </c>
      <c r="L598" s="265">
        <v>0</v>
      </c>
      <c r="M598" s="265">
        <v>0</v>
      </c>
      <c r="N598" s="265">
        <v>0</v>
      </c>
      <c r="O598" s="265">
        <v>0</v>
      </c>
      <c r="P598" s="265">
        <v>0</v>
      </c>
      <c r="Q598" s="265">
        <v>0</v>
      </c>
      <c r="R598" s="265">
        <v>0</v>
      </c>
      <c r="S598" s="265">
        <f t="shared" ref="S598:S603" si="177">SUM(G598:R598)</f>
        <v>0</v>
      </c>
      <c r="T598" s="265">
        <v>0</v>
      </c>
      <c r="U598" s="265">
        <f t="shared" ref="U598:U603" si="178">T598-S598</f>
        <v>0</v>
      </c>
      <c r="V598" s="262">
        <v>0</v>
      </c>
      <c r="W598" s="263"/>
    </row>
    <row r="599" spans="1:23" x14ac:dyDescent="0.25">
      <c r="A599" t="s">
        <v>55</v>
      </c>
      <c r="B599" t="s">
        <v>142</v>
      </c>
      <c r="C599" t="s">
        <v>141</v>
      </c>
      <c r="D599" s="283">
        <v>0</v>
      </c>
      <c r="E599" s="283">
        <v>2000</v>
      </c>
      <c r="G599" s="265">
        <v>0</v>
      </c>
      <c r="H599" s="265">
        <v>0</v>
      </c>
      <c r="I599" s="265">
        <v>0</v>
      </c>
      <c r="J599" s="265">
        <v>0</v>
      </c>
      <c r="K599" s="265">
        <v>0</v>
      </c>
      <c r="L599" s="265">
        <v>0</v>
      </c>
      <c r="M599" s="265">
        <v>0</v>
      </c>
      <c r="N599" s="265">
        <v>0</v>
      </c>
      <c r="O599" s="265">
        <v>0</v>
      </c>
      <c r="P599" s="265">
        <v>0</v>
      </c>
      <c r="Q599" s="265">
        <v>0</v>
      </c>
      <c r="R599" s="265">
        <v>0</v>
      </c>
      <c r="S599" s="265">
        <f t="shared" si="177"/>
        <v>0</v>
      </c>
      <c r="T599" s="265">
        <v>0</v>
      </c>
      <c r="U599" s="265">
        <f t="shared" si="178"/>
        <v>0</v>
      </c>
      <c r="V599" s="262">
        <v>0</v>
      </c>
      <c r="W599" s="263"/>
    </row>
    <row r="600" spans="1:23" x14ac:dyDescent="0.25">
      <c r="A600" t="s">
        <v>55</v>
      </c>
      <c r="B600" t="s">
        <v>140</v>
      </c>
      <c r="C600" t="s">
        <v>139</v>
      </c>
      <c r="D600" s="283">
        <v>0</v>
      </c>
      <c r="E600" s="283">
        <v>500</v>
      </c>
      <c r="G600" s="265">
        <v>473.7</v>
      </c>
      <c r="H600" s="265">
        <v>0</v>
      </c>
      <c r="I600" s="265">
        <v>102.89</v>
      </c>
      <c r="J600" s="265">
        <v>0</v>
      </c>
      <c r="K600" s="265">
        <v>0</v>
      </c>
      <c r="L600" s="265">
        <v>0</v>
      </c>
      <c r="M600" s="265">
        <v>0</v>
      </c>
      <c r="N600" s="265">
        <v>0</v>
      </c>
      <c r="O600" s="265">
        <v>0</v>
      </c>
      <c r="P600" s="265">
        <v>0</v>
      </c>
      <c r="Q600" s="265">
        <v>0</v>
      </c>
      <c r="R600" s="265">
        <v>0</v>
      </c>
      <c r="S600" s="265">
        <f t="shared" si="177"/>
        <v>576.59</v>
      </c>
      <c r="T600" s="265">
        <v>0</v>
      </c>
      <c r="U600" s="265">
        <f t="shared" si="178"/>
        <v>-576.59</v>
      </c>
      <c r="V600" s="262">
        <v>0</v>
      </c>
      <c r="W600" s="263"/>
    </row>
    <row r="601" spans="1:23" x14ac:dyDescent="0.25">
      <c r="A601" t="s">
        <v>55</v>
      </c>
      <c r="B601" t="s">
        <v>138</v>
      </c>
      <c r="C601" t="s">
        <v>137</v>
      </c>
      <c r="D601" s="283">
        <v>0</v>
      </c>
      <c r="E601" s="283">
        <v>500</v>
      </c>
      <c r="G601" s="265">
        <v>0</v>
      </c>
      <c r="H601" s="265">
        <v>0</v>
      </c>
      <c r="I601" s="265">
        <v>0</v>
      </c>
      <c r="J601" s="265">
        <v>0</v>
      </c>
      <c r="K601" s="265">
        <v>0</v>
      </c>
      <c r="L601" s="265">
        <v>0</v>
      </c>
      <c r="M601" s="265">
        <v>0</v>
      </c>
      <c r="N601" s="265">
        <v>0</v>
      </c>
      <c r="O601" s="265">
        <v>0</v>
      </c>
      <c r="P601" s="265">
        <v>0</v>
      </c>
      <c r="Q601" s="265">
        <v>0</v>
      </c>
      <c r="R601" s="265">
        <v>0</v>
      </c>
      <c r="S601" s="265">
        <f t="shared" si="177"/>
        <v>0</v>
      </c>
      <c r="T601" s="265">
        <v>0</v>
      </c>
      <c r="U601" s="265">
        <f t="shared" si="178"/>
        <v>0</v>
      </c>
      <c r="V601" s="262">
        <v>0</v>
      </c>
      <c r="W601" s="263"/>
    </row>
    <row r="602" spans="1:23" x14ac:dyDescent="0.25">
      <c r="A602" t="s">
        <v>55</v>
      </c>
      <c r="B602" t="s">
        <v>136</v>
      </c>
      <c r="C602" t="s">
        <v>135</v>
      </c>
      <c r="D602" s="283">
        <v>1283.27</v>
      </c>
      <c r="E602" s="283">
        <v>1500</v>
      </c>
      <c r="G602" s="265">
        <v>0</v>
      </c>
      <c r="H602" s="265">
        <v>0</v>
      </c>
      <c r="I602" s="265">
        <v>0</v>
      </c>
      <c r="J602" s="265">
        <v>427.25</v>
      </c>
      <c r="K602" s="265">
        <v>146.97000000000003</v>
      </c>
      <c r="L602" s="265">
        <v>11.99</v>
      </c>
      <c r="M602" s="265">
        <v>0</v>
      </c>
      <c r="N602" s="265">
        <v>0</v>
      </c>
      <c r="O602" s="265">
        <v>0</v>
      </c>
      <c r="P602" s="265">
        <v>0</v>
      </c>
      <c r="Q602" s="265">
        <v>0</v>
      </c>
      <c r="R602" s="265">
        <v>0</v>
      </c>
      <c r="S602" s="265">
        <f t="shared" si="177"/>
        <v>586.21</v>
      </c>
      <c r="T602" s="265">
        <v>0</v>
      </c>
      <c r="U602" s="265">
        <f t="shared" si="178"/>
        <v>-586.21</v>
      </c>
      <c r="V602" s="262">
        <v>0</v>
      </c>
      <c r="W602" s="263"/>
    </row>
    <row r="603" spans="1:23" x14ac:dyDescent="0.25">
      <c r="A603" t="s">
        <v>55</v>
      </c>
      <c r="B603" t="s">
        <v>134</v>
      </c>
      <c r="C603" t="s">
        <v>133</v>
      </c>
      <c r="D603" s="283">
        <v>5529.43</v>
      </c>
      <c r="E603" s="283">
        <v>4000</v>
      </c>
      <c r="G603" s="265">
        <v>0</v>
      </c>
      <c r="H603" s="265">
        <v>3538.91</v>
      </c>
      <c r="I603" s="265">
        <v>139.71999999999935</v>
      </c>
      <c r="J603" s="265">
        <v>1369.1</v>
      </c>
      <c r="K603" s="265">
        <v>0</v>
      </c>
      <c r="L603" s="265">
        <v>0</v>
      </c>
      <c r="M603" s="265">
        <v>0</v>
      </c>
      <c r="N603" s="265">
        <v>0</v>
      </c>
      <c r="O603" s="265">
        <v>0</v>
      </c>
      <c r="P603" s="265">
        <v>0</v>
      </c>
      <c r="Q603" s="265">
        <v>0</v>
      </c>
      <c r="R603" s="265">
        <v>0</v>
      </c>
      <c r="S603" s="265">
        <f t="shared" si="177"/>
        <v>5047.7299999999996</v>
      </c>
      <c r="T603" s="265">
        <v>0</v>
      </c>
      <c r="U603" s="265">
        <f t="shared" si="178"/>
        <v>-5047.7299999999996</v>
      </c>
      <c r="V603" s="262">
        <v>0</v>
      </c>
    </row>
    <row r="604" spans="1:23" ht="15.75" thickBot="1" x14ac:dyDescent="0.3">
      <c r="D604" s="363">
        <v>6812.7000000000007</v>
      </c>
      <c r="E604" s="273">
        <v>98500</v>
      </c>
      <c r="F604" s="350"/>
      <c r="G604" s="273">
        <f t="shared" ref="G604:P604" si="179">SUM(G598:G603)</f>
        <v>473.7</v>
      </c>
      <c r="H604" s="273">
        <f t="shared" si="179"/>
        <v>3538.91</v>
      </c>
      <c r="I604" s="273">
        <f t="shared" si="179"/>
        <v>242.60999999999933</v>
      </c>
      <c r="J604" s="273">
        <f t="shared" si="179"/>
        <v>1796.35</v>
      </c>
      <c r="K604" s="273">
        <f t="shared" si="179"/>
        <v>146.97000000000003</v>
      </c>
      <c r="L604" s="273">
        <f t="shared" si="179"/>
        <v>11.99</v>
      </c>
      <c r="M604" s="273">
        <f t="shared" si="179"/>
        <v>0</v>
      </c>
      <c r="N604" s="273">
        <f t="shared" si="179"/>
        <v>0</v>
      </c>
      <c r="O604" s="273">
        <f t="shared" si="179"/>
        <v>0</v>
      </c>
      <c r="P604" s="273">
        <f t="shared" si="179"/>
        <v>0</v>
      </c>
      <c r="Q604" s="273">
        <f t="shared" ref="Q604" si="180">SUM(Q598:Q603)</f>
        <v>0</v>
      </c>
      <c r="R604" s="273">
        <f t="shared" ref="R604" si="181">SUM(R598:R603)</f>
        <v>0</v>
      </c>
      <c r="S604" s="273">
        <f>SUM(S598:S603)</f>
        <v>6210.53</v>
      </c>
      <c r="T604" s="273">
        <f>SUM(T598:T603)</f>
        <v>0</v>
      </c>
      <c r="U604" s="273">
        <f>SUM(U598:U603)</f>
        <v>-6210.53</v>
      </c>
      <c r="V604" s="272">
        <v>0</v>
      </c>
    </row>
    <row r="605" spans="1:23" ht="15.75" thickTop="1" x14ac:dyDescent="0.25">
      <c r="A605" t="s">
        <v>132</v>
      </c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W605" s="263"/>
    </row>
    <row r="606" spans="1:23" ht="15.75" thickBot="1" x14ac:dyDescent="0.3">
      <c r="A606" t="s">
        <v>55</v>
      </c>
      <c r="B606" t="s">
        <v>131</v>
      </c>
      <c r="C606" t="s">
        <v>130</v>
      </c>
      <c r="D606" s="283">
        <v>36164.71</v>
      </c>
      <c r="E606" s="283">
        <v>28525.32</v>
      </c>
      <c r="G606" s="273">
        <v>0</v>
      </c>
      <c r="H606" s="273">
        <v>0</v>
      </c>
      <c r="I606" s="273">
        <v>0</v>
      </c>
      <c r="J606" s="273">
        <v>0</v>
      </c>
      <c r="K606" s="273">
        <v>0</v>
      </c>
      <c r="L606" s="273">
        <v>0</v>
      </c>
      <c r="M606" s="273">
        <v>0</v>
      </c>
      <c r="N606" s="273">
        <v>0</v>
      </c>
      <c r="O606" s="273">
        <v>0</v>
      </c>
      <c r="P606" s="273">
        <v>0</v>
      </c>
      <c r="Q606" s="273">
        <v>0</v>
      </c>
      <c r="R606" s="273">
        <v>0</v>
      </c>
      <c r="S606" s="273">
        <f>SUM(G606:R606)</f>
        <v>0</v>
      </c>
      <c r="T606" s="273">
        <v>0</v>
      </c>
      <c r="U606" s="273">
        <f>T606-S606</f>
        <v>0</v>
      </c>
      <c r="V606" s="272">
        <v>0</v>
      </c>
      <c r="W606" s="263"/>
    </row>
    <row r="607" spans="1:23" ht="15.75" thickTop="1" x14ac:dyDescent="0.25">
      <c r="A607" t="s">
        <v>55</v>
      </c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</row>
    <row r="608" spans="1:23" x14ac:dyDescent="0.25"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</row>
    <row r="609" spans="2:23" ht="17.25" x14ac:dyDescent="0.3">
      <c r="C609" s="271" t="s">
        <v>129</v>
      </c>
      <c r="D609" s="366">
        <v>1360706.3999999997</v>
      </c>
      <c r="E609" s="270">
        <f t="shared" ref="E609:U609" si="182">E606+E596+E578+E570+E545+E604+E526</f>
        <v>1249382.3700000001</v>
      </c>
      <c r="F609" s="355"/>
      <c r="G609" s="270">
        <f t="shared" si="182"/>
        <v>85288.099999999991</v>
      </c>
      <c r="H609" s="270">
        <f t="shared" si="182"/>
        <v>96347.548686091948</v>
      </c>
      <c r="I609" s="270">
        <f t="shared" si="182"/>
        <v>90315.71</v>
      </c>
      <c r="J609" s="270">
        <f t="shared" si="182"/>
        <v>117790.32464724134</v>
      </c>
      <c r="K609" s="270">
        <f t="shared" si="182"/>
        <v>73296.740000000005</v>
      </c>
      <c r="L609" s="270">
        <f t="shared" si="182"/>
        <v>82414.430000000008</v>
      </c>
      <c r="M609" s="270">
        <f t="shared" si="182"/>
        <v>0</v>
      </c>
      <c r="N609" s="270">
        <f t="shared" si="182"/>
        <v>0</v>
      </c>
      <c r="O609" s="270">
        <f t="shared" si="182"/>
        <v>0</v>
      </c>
      <c r="P609" s="270">
        <f t="shared" si="182"/>
        <v>0</v>
      </c>
      <c r="Q609" s="270">
        <f t="shared" si="182"/>
        <v>0</v>
      </c>
      <c r="R609" s="270">
        <f t="shared" si="182"/>
        <v>0</v>
      </c>
      <c r="S609" s="270">
        <f t="shared" si="182"/>
        <v>545452.85333333327</v>
      </c>
      <c r="T609" s="270">
        <f t="shared" si="182"/>
        <v>1156987.3900000001</v>
      </c>
      <c r="U609" s="270">
        <f t="shared" si="182"/>
        <v>611534.53666666662</v>
      </c>
      <c r="V609" s="269">
        <f>S609/T609</f>
        <v>0.47144234937023233</v>
      </c>
      <c r="W609" s="263"/>
    </row>
    <row r="610" spans="2:23" x14ac:dyDescent="0.25"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</row>
    <row r="611" spans="2:23" ht="18" thickBot="1" x14ac:dyDescent="0.35"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9"/>
    </row>
    <row r="612" spans="2:23" ht="20.25" thickBot="1" x14ac:dyDescent="0.35">
      <c r="C612" s="268" t="s">
        <v>128</v>
      </c>
      <c r="D612" s="371">
        <v>15271189.919999998</v>
      </c>
      <c r="E612" s="267">
        <f t="shared" ref="E612:U612" si="183">E609+E517+E410+E319+E264+E238+E188+E169+E145</f>
        <v>14540133.599999998</v>
      </c>
      <c r="F612" s="358"/>
      <c r="G612" s="267">
        <f t="shared" si="183"/>
        <v>1315656.3999999999</v>
      </c>
      <c r="H612" s="267">
        <f t="shared" si="183"/>
        <v>956317.24282226828</v>
      </c>
      <c r="I612" s="267">
        <f t="shared" si="183"/>
        <v>1017898.6824071279</v>
      </c>
      <c r="J612" s="267">
        <f t="shared" si="183"/>
        <v>1296534.6533333326</v>
      </c>
      <c r="K612" s="267">
        <f t="shared" si="183"/>
        <v>1136881.1800000002</v>
      </c>
      <c r="L612" s="267">
        <f t="shared" si="183"/>
        <v>979336.85999999975</v>
      </c>
      <c r="M612" s="267">
        <f t="shared" si="183"/>
        <v>0</v>
      </c>
      <c r="N612" s="267">
        <f t="shared" si="183"/>
        <v>0</v>
      </c>
      <c r="O612" s="267">
        <f t="shared" si="183"/>
        <v>0</v>
      </c>
      <c r="P612" s="267">
        <f t="shared" si="183"/>
        <v>0</v>
      </c>
      <c r="Q612" s="267">
        <f t="shared" si="183"/>
        <v>0</v>
      </c>
      <c r="R612" s="267">
        <f t="shared" si="183"/>
        <v>0</v>
      </c>
      <c r="S612" s="267">
        <f t="shared" si="183"/>
        <v>6702625.0185627304</v>
      </c>
      <c r="T612" s="267">
        <f t="shared" si="183"/>
        <v>14910390.130000001</v>
      </c>
      <c r="U612" s="267">
        <f t="shared" si="183"/>
        <v>8207765.1114372713</v>
      </c>
      <c r="V612" s="266">
        <f>S612/T612</f>
        <v>0.44952713913748749</v>
      </c>
      <c r="W612" s="263"/>
    </row>
    <row r="613" spans="2:23" x14ac:dyDescent="0.25"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W613" s="263"/>
    </row>
    <row r="614" spans="2:23" ht="15.75" thickBot="1" x14ac:dyDescent="0.3"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</row>
    <row r="615" spans="2:23" ht="20.25" thickBot="1" x14ac:dyDescent="0.35">
      <c r="C615" s="268" t="s">
        <v>127</v>
      </c>
      <c r="D615" s="371">
        <v>692778.79000000283</v>
      </c>
      <c r="E615" s="267">
        <f t="shared" ref="E615:U615" si="184">E96-E612</f>
        <v>847740.43000000156</v>
      </c>
      <c r="F615" s="358"/>
      <c r="G615" s="267">
        <f t="shared" si="184"/>
        <v>-54473.60999999987</v>
      </c>
      <c r="H615" s="267">
        <f t="shared" si="184"/>
        <v>-187259.13282226829</v>
      </c>
      <c r="I615" s="267">
        <f t="shared" si="184"/>
        <v>851298.49759287201</v>
      </c>
      <c r="J615" s="267">
        <f t="shared" si="184"/>
        <v>211481.46666666749</v>
      </c>
      <c r="K615" s="267">
        <f t="shared" si="184"/>
        <v>-524196.1100000001</v>
      </c>
      <c r="L615" s="267">
        <f>L96-L612</f>
        <v>-210107.24799999979</v>
      </c>
      <c r="M615" s="267">
        <f t="shared" si="184"/>
        <v>0</v>
      </c>
      <c r="N615" s="267">
        <f t="shared" si="184"/>
        <v>0</v>
      </c>
      <c r="O615" s="267">
        <f t="shared" si="184"/>
        <v>0</v>
      </c>
      <c r="P615" s="267">
        <f t="shared" si="184"/>
        <v>0</v>
      </c>
      <c r="Q615" s="267">
        <f t="shared" si="184"/>
        <v>0</v>
      </c>
      <c r="R615" s="267">
        <f t="shared" si="184"/>
        <v>0</v>
      </c>
      <c r="S615" s="267">
        <f t="shared" si="184"/>
        <v>86743.863437269814</v>
      </c>
      <c r="T615" s="267">
        <f t="shared" si="184"/>
        <v>688165.53999999911</v>
      </c>
      <c r="U615" s="267">
        <f t="shared" si="184"/>
        <v>-17016951.899437271</v>
      </c>
      <c r="V615" s="266">
        <f>S615/T615</f>
        <v>0.12605086769859172</v>
      </c>
    </row>
    <row r="616" spans="2:23" x14ac:dyDescent="0.25"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W616" s="263"/>
    </row>
    <row r="617" spans="2:23" x14ac:dyDescent="0.25"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W617" s="263"/>
    </row>
    <row r="618" spans="2:23" x14ac:dyDescent="0.25"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W618" s="263"/>
    </row>
    <row r="619" spans="2:23" ht="15.75" x14ac:dyDescent="0.25">
      <c r="C619" s="342" t="s">
        <v>927</v>
      </c>
      <c r="D619" s="372">
        <v>10243968.779999999</v>
      </c>
      <c r="E619" s="343">
        <v>9411473.8200000003</v>
      </c>
      <c r="F619" s="359"/>
      <c r="G619" s="343">
        <f>G545+G451+G349+G276+G200+G152+G107+G243</f>
        <v>567136.2300000001</v>
      </c>
      <c r="H619" s="343">
        <f t="shared" ref="H619:T619" si="185">H545+H451+H349+H276+H200+H152+H107+H243</f>
        <v>610312.47000000009</v>
      </c>
      <c r="I619" s="343">
        <f t="shared" si="185"/>
        <v>581484.85000000009</v>
      </c>
      <c r="J619" s="343">
        <f t="shared" si="185"/>
        <v>947374.05333333334</v>
      </c>
      <c r="K619" s="343">
        <f t="shared" si="185"/>
        <v>772022.40000000026</v>
      </c>
      <c r="L619" s="343">
        <f t="shared" si="185"/>
        <v>639928.70000000019</v>
      </c>
      <c r="M619" s="343">
        <f t="shared" si="185"/>
        <v>0</v>
      </c>
      <c r="N619" s="343">
        <f t="shared" si="185"/>
        <v>0</v>
      </c>
      <c r="O619" s="343">
        <f t="shared" si="185"/>
        <v>0</v>
      </c>
      <c r="P619" s="343">
        <f t="shared" si="185"/>
        <v>0</v>
      </c>
      <c r="Q619" s="343">
        <f t="shared" si="185"/>
        <v>0</v>
      </c>
      <c r="R619" s="343">
        <f t="shared" si="185"/>
        <v>0</v>
      </c>
      <c r="S619" s="343">
        <f t="shared" si="185"/>
        <v>4118258.7033333331</v>
      </c>
      <c r="T619" s="343">
        <f t="shared" si="185"/>
        <v>9817382.5</v>
      </c>
      <c r="U619" s="343">
        <f>T619/12*5</f>
        <v>4090576.041666667</v>
      </c>
      <c r="V619" s="344"/>
      <c r="W619" s="263"/>
    </row>
    <row r="620" spans="2:23" ht="15.75" x14ac:dyDescent="0.25">
      <c r="C620" s="342" t="s">
        <v>187</v>
      </c>
      <c r="D620" s="372">
        <v>1504515.67</v>
      </c>
      <c r="E620" s="343">
        <v>1580186.69</v>
      </c>
      <c r="F620" s="359"/>
      <c r="G620" s="343">
        <f>G578+G485+G381+G304+G258+G229+G130</f>
        <v>145906.25</v>
      </c>
      <c r="H620" s="343">
        <f t="shared" ref="H620:T620" si="186">H578+H485+H381+H304+H258+H229+H130</f>
        <v>138032.85999999999</v>
      </c>
      <c r="I620" s="343">
        <f t="shared" si="186"/>
        <v>144239.61000000002</v>
      </c>
      <c r="J620" s="343">
        <f t="shared" si="186"/>
        <v>144522.68000000002</v>
      </c>
      <c r="K620" s="343">
        <f t="shared" si="186"/>
        <v>145781.99</v>
      </c>
      <c r="L620" s="343">
        <f t="shared" si="186"/>
        <v>145132.09999999998</v>
      </c>
      <c r="M620" s="343">
        <f t="shared" si="186"/>
        <v>0</v>
      </c>
      <c r="N620" s="343">
        <f t="shared" si="186"/>
        <v>0</v>
      </c>
      <c r="O620" s="343">
        <f t="shared" si="186"/>
        <v>0</v>
      </c>
      <c r="P620" s="343">
        <f t="shared" si="186"/>
        <v>0</v>
      </c>
      <c r="Q620" s="343">
        <f t="shared" si="186"/>
        <v>0</v>
      </c>
      <c r="R620" s="343">
        <f t="shared" si="186"/>
        <v>0</v>
      </c>
      <c r="S620" s="343">
        <f t="shared" si="186"/>
        <v>863615.49</v>
      </c>
      <c r="T620" s="343">
        <f t="shared" si="186"/>
        <v>1663351.5799999998</v>
      </c>
      <c r="U620" s="343">
        <f t="shared" ref="U620:U624" si="187">T620/12*5</f>
        <v>693063.15833333321</v>
      </c>
      <c r="V620" s="344"/>
    </row>
    <row r="621" spans="2:23" ht="15.75" x14ac:dyDescent="0.25">
      <c r="C621" s="342" t="s">
        <v>928</v>
      </c>
      <c r="D621" s="372">
        <v>2601962.8799999994</v>
      </c>
      <c r="E621" s="343">
        <v>2393493.5400000005</v>
      </c>
      <c r="F621" s="359"/>
      <c r="G621" s="343">
        <f>G570+G526+G477+G373+G298+G251+G222+G186+G165+G122</f>
        <v>555546.79999999993</v>
      </c>
      <c r="H621" s="343">
        <f t="shared" ref="H621:T621" si="188">H570+H526+H477+H373+H298+H251+H222+H186+H165+H122</f>
        <v>123215.29282226838</v>
      </c>
      <c r="I621" s="343">
        <f t="shared" si="188"/>
        <v>103769.48240712803</v>
      </c>
      <c r="J621" s="343">
        <f t="shared" si="188"/>
        <v>134024.8099999995</v>
      </c>
      <c r="K621" s="343">
        <f t="shared" si="188"/>
        <v>119974.09</v>
      </c>
      <c r="L621" s="343">
        <f t="shared" si="188"/>
        <v>153709.94</v>
      </c>
      <c r="M621" s="343">
        <f t="shared" si="188"/>
        <v>0</v>
      </c>
      <c r="N621" s="343">
        <f t="shared" si="188"/>
        <v>0</v>
      </c>
      <c r="O621" s="343">
        <f t="shared" si="188"/>
        <v>0</v>
      </c>
      <c r="P621" s="343">
        <f t="shared" si="188"/>
        <v>0</v>
      </c>
      <c r="Q621" s="343">
        <f t="shared" si="188"/>
        <v>0</v>
      </c>
      <c r="R621" s="343">
        <f t="shared" si="188"/>
        <v>0</v>
      </c>
      <c r="S621" s="343">
        <f t="shared" si="188"/>
        <v>1190240.415229396</v>
      </c>
      <c r="T621" s="343">
        <f t="shared" si="188"/>
        <v>2427482.9900000002</v>
      </c>
      <c r="U621" s="343">
        <f t="shared" si="187"/>
        <v>1011451.2458333333</v>
      </c>
      <c r="V621" s="344"/>
    </row>
    <row r="622" spans="2:23" ht="15.75" x14ac:dyDescent="0.25">
      <c r="C622" s="342" t="s">
        <v>929</v>
      </c>
      <c r="D622" s="372">
        <v>517282.97999999992</v>
      </c>
      <c r="E622" s="343">
        <v>576027</v>
      </c>
      <c r="F622" s="359"/>
      <c r="G622" s="343">
        <f>G596+G502+G394+G311+G262+G231+G167+G135</f>
        <v>34517.530000000006</v>
      </c>
      <c r="H622" s="343">
        <f t="shared" ref="H622:T622" si="189">H596+H502+H394+H311+H262+H231+H167+H135</f>
        <v>43997.970000000008</v>
      </c>
      <c r="I622" s="343">
        <f t="shared" si="189"/>
        <v>32469.619999999992</v>
      </c>
      <c r="J622" s="343">
        <f t="shared" si="189"/>
        <v>25060.01</v>
      </c>
      <c r="K622" s="343">
        <f t="shared" si="189"/>
        <v>17310.05</v>
      </c>
      <c r="L622" s="343">
        <f t="shared" si="189"/>
        <v>27754.74</v>
      </c>
      <c r="M622" s="343">
        <f t="shared" si="189"/>
        <v>0</v>
      </c>
      <c r="N622" s="343">
        <f t="shared" si="189"/>
        <v>0</v>
      </c>
      <c r="O622" s="343">
        <f t="shared" si="189"/>
        <v>0</v>
      </c>
      <c r="P622" s="343">
        <f t="shared" si="189"/>
        <v>0</v>
      </c>
      <c r="Q622" s="343">
        <f t="shared" si="189"/>
        <v>0</v>
      </c>
      <c r="R622" s="343">
        <f t="shared" si="189"/>
        <v>0</v>
      </c>
      <c r="S622" s="343">
        <f t="shared" si="189"/>
        <v>181109.91999999998</v>
      </c>
      <c r="T622" s="343">
        <f t="shared" si="189"/>
        <v>450670</v>
      </c>
      <c r="U622" s="343">
        <f t="shared" si="187"/>
        <v>187779.16666666669</v>
      </c>
      <c r="V622" s="344"/>
      <c r="W622" s="263"/>
    </row>
    <row r="623" spans="2:23" ht="15.75" x14ac:dyDescent="0.25">
      <c r="B623" s="264"/>
      <c r="C623" s="342" t="s">
        <v>930</v>
      </c>
      <c r="D623" s="372">
        <v>220197.65000000002</v>
      </c>
      <c r="E623" s="343">
        <v>358557</v>
      </c>
      <c r="F623" s="359"/>
      <c r="G623" s="343">
        <f>G604+G510+G406+G317+G236+G140</f>
        <v>7317.16</v>
      </c>
      <c r="H623" s="343">
        <f t="shared" ref="H623:T623" si="190">H604+H510+H406+H317+H236+H140</f>
        <v>13974.26</v>
      </c>
      <c r="I623" s="343">
        <f t="shared" si="190"/>
        <v>3947.9800000000005</v>
      </c>
      <c r="J623" s="343">
        <f t="shared" si="190"/>
        <v>40192.18</v>
      </c>
      <c r="K623" s="343">
        <f t="shared" si="190"/>
        <v>80792.650000000009</v>
      </c>
      <c r="L623" s="343">
        <f t="shared" si="190"/>
        <v>11181.41</v>
      </c>
      <c r="M623" s="343">
        <f t="shared" si="190"/>
        <v>0</v>
      </c>
      <c r="N623" s="343">
        <f t="shared" si="190"/>
        <v>0</v>
      </c>
      <c r="O623" s="343">
        <f t="shared" si="190"/>
        <v>0</v>
      </c>
      <c r="P623" s="343">
        <f t="shared" si="190"/>
        <v>0</v>
      </c>
      <c r="Q623" s="343">
        <f t="shared" si="190"/>
        <v>0</v>
      </c>
      <c r="R623" s="343">
        <f t="shared" si="190"/>
        <v>0</v>
      </c>
      <c r="S623" s="343">
        <f t="shared" si="190"/>
        <v>157405.64000000001</v>
      </c>
      <c r="T623" s="343">
        <f t="shared" si="190"/>
        <v>248313.66999999998</v>
      </c>
      <c r="U623" s="343">
        <f t="shared" si="187"/>
        <v>103464.02916666666</v>
      </c>
      <c r="V623" s="344"/>
    </row>
    <row r="624" spans="2:23" ht="15.75" x14ac:dyDescent="0.25">
      <c r="C624" s="342" t="s">
        <v>931</v>
      </c>
      <c r="D624" s="372">
        <v>183261.96</v>
      </c>
      <c r="E624" s="343">
        <v>164561.23000000001</v>
      </c>
      <c r="F624" s="359"/>
      <c r="G624" s="343">
        <f>G606+G515+G408+G143</f>
        <v>5232.43</v>
      </c>
      <c r="H624" s="343">
        <f t="shared" ref="H624:T624" si="191">H606+H515+H408+H143</f>
        <v>26784.39</v>
      </c>
      <c r="I624" s="343">
        <f t="shared" si="191"/>
        <v>151987.13999999998</v>
      </c>
      <c r="J624" s="343">
        <f t="shared" si="191"/>
        <v>5360.9200000000128</v>
      </c>
      <c r="K624" s="343">
        <f t="shared" si="191"/>
        <v>1000</v>
      </c>
      <c r="L624" s="343">
        <f t="shared" si="191"/>
        <v>1629.97</v>
      </c>
      <c r="M624" s="343">
        <f t="shared" si="191"/>
        <v>0</v>
      </c>
      <c r="N624" s="343">
        <f t="shared" si="191"/>
        <v>0</v>
      </c>
      <c r="O624" s="343">
        <f t="shared" si="191"/>
        <v>0</v>
      </c>
      <c r="P624" s="343">
        <f t="shared" si="191"/>
        <v>0</v>
      </c>
      <c r="Q624" s="343">
        <f t="shared" si="191"/>
        <v>0</v>
      </c>
      <c r="R624" s="343">
        <f t="shared" si="191"/>
        <v>0</v>
      </c>
      <c r="S624" s="343">
        <f t="shared" si="191"/>
        <v>191994.85</v>
      </c>
      <c r="T624" s="343">
        <f t="shared" si="191"/>
        <v>303189.39</v>
      </c>
      <c r="U624" s="343">
        <f t="shared" si="187"/>
        <v>126328.91250000001</v>
      </c>
      <c r="V624" s="344"/>
    </row>
    <row r="625" spans="4:23" x14ac:dyDescent="0.25">
      <c r="D625" s="283">
        <v>15271189.92</v>
      </c>
      <c r="E625" s="265">
        <v>14484299.280000001</v>
      </c>
      <c r="F625" s="360"/>
      <c r="G625" s="265">
        <f t="shared" ref="G625:U625" si="192">SUM(G619:G624)</f>
        <v>1315656.3999999999</v>
      </c>
      <c r="H625" s="265">
        <f t="shared" si="192"/>
        <v>956317.2428222684</v>
      </c>
      <c r="I625" s="265">
        <f t="shared" si="192"/>
        <v>1017898.6824071282</v>
      </c>
      <c r="J625" s="265">
        <f t="shared" si="192"/>
        <v>1296534.6533333329</v>
      </c>
      <c r="K625" s="265">
        <f>SUM(K619:K624)</f>
        <v>1136881.1800000002</v>
      </c>
      <c r="L625" s="265">
        <f t="shared" si="192"/>
        <v>979336.86000000022</v>
      </c>
      <c r="M625" s="265">
        <f t="shared" si="192"/>
        <v>0</v>
      </c>
      <c r="N625" s="265">
        <f t="shared" si="192"/>
        <v>0</v>
      </c>
      <c r="O625" s="265">
        <f t="shared" si="192"/>
        <v>0</v>
      </c>
      <c r="P625" s="265">
        <f t="shared" si="192"/>
        <v>0</v>
      </c>
      <c r="Q625" s="265">
        <f t="shared" si="192"/>
        <v>0</v>
      </c>
      <c r="R625" s="265">
        <f t="shared" si="192"/>
        <v>0</v>
      </c>
      <c r="S625" s="265">
        <f t="shared" si="192"/>
        <v>6702625.0185627285</v>
      </c>
      <c r="T625" s="265">
        <f t="shared" si="192"/>
        <v>14910390.130000001</v>
      </c>
      <c r="U625" s="265">
        <f t="shared" si="192"/>
        <v>6212662.5541666672</v>
      </c>
      <c r="W625" s="263"/>
    </row>
    <row r="626" spans="4:23" x14ac:dyDescent="0.25">
      <c r="E626" s="283">
        <v>14540133.599999998</v>
      </c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</row>
    <row r="627" spans="4:23" x14ac:dyDescent="0.25">
      <c r="E627" s="283">
        <f>E626-E625</f>
        <v>55834.319999996573</v>
      </c>
      <c r="F627" s="360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</row>
    <row r="628" spans="4:23" x14ac:dyDescent="0.25"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W628" s="263"/>
    </row>
    <row r="629" spans="4:23" x14ac:dyDescent="0.25"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W629" s="263"/>
    </row>
    <row r="630" spans="4:23" x14ac:dyDescent="0.25"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W630" s="263"/>
    </row>
    <row r="631" spans="4:23" x14ac:dyDescent="0.25"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W631" s="263"/>
    </row>
    <row r="632" spans="4:23" x14ac:dyDescent="0.25"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W632" s="263"/>
    </row>
    <row r="633" spans="4:23" x14ac:dyDescent="0.25"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W633" s="263"/>
    </row>
    <row r="634" spans="4:23" x14ac:dyDescent="0.25"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W634" s="263"/>
    </row>
    <row r="635" spans="4:23" x14ac:dyDescent="0.25"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W635" s="263"/>
    </row>
    <row r="636" spans="4:23" x14ac:dyDescent="0.25"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W636" s="263"/>
    </row>
    <row r="637" spans="4:23" x14ac:dyDescent="0.25"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W637" s="263"/>
    </row>
    <row r="638" spans="4:23" x14ac:dyDescent="0.25"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W638" s="263"/>
    </row>
    <row r="639" spans="4:23" x14ac:dyDescent="0.25"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</row>
    <row r="640" spans="4:23" x14ac:dyDescent="0.25"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</row>
    <row r="641" spans="2:23" x14ac:dyDescent="0.25"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W641" s="263"/>
    </row>
    <row r="642" spans="2:23" x14ac:dyDescent="0.25">
      <c r="B642" s="264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</row>
    <row r="643" spans="2:23" x14ac:dyDescent="0.25"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</row>
    <row r="644" spans="2:23" x14ac:dyDescent="0.25"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W644" s="263"/>
    </row>
    <row r="645" spans="2:23" x14ac:dyDescent="0.25">
      <c r="B645" s="264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</row>
    <row r="646" spans="2:23" x14ac:dyDescent="0.25"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</row>
    <row r="647" spans="2:23" x14ac:dyDescent="0.25"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W647" s="263"/>
    </row>
    <row r="648" spans="2:23" x14ac:dyDescent="0.25">
      <c r="B648" s="264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W648" s="263"/>
    </row>
    <row r="649" spans="2:23" x14ac:dyDescent="0.25">
      <c r="B649" s="264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W649" s="263"/>
    </row>
    <row r="650" spans="2:23" x14ac:dyDescent="0.25">
      <c r="B650" s="264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W650" s="263"/>
    </row>
    <row r="651" spans="2:23" x14ac:dyDescent="0.25">
      <c r="B651" s="264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W651" s="263"/>
    </row>
    <row r="652" spans="2:23" x14ac:dyDescent="0.25">
      <c r="B652" s="264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</row>
    <row r="654" spans="2:23" x14ac:dyDescent="0.25">
      <c r="W654" s="263"/>
    </row>
    <row r="655" spans="2:23" x14ac:dyDescent="0.25">
      <c r="B655" s="264"/>
      <c r="G655" s="263"/>
      <c r="H655" s="263"/>
      <c r="I655" s="263"/>
      <c r="J655" s="263"/>
      <c r="K655" s="263"/>
      <c r="L655" s="263"/>
      <c r="M655" s="263"/>
      <c r="N655" s="263"/>
      <c r="O655" s="263"/>
      <c r="P655" s="263"/>
      <c r="Q655" s="263"/>
      <c r="R655" s="263"/>
      <c r="S655" s="263"/>
      <c r="T655" s="263"/>
      <c r="U655" s="263"/>
    </row>
    <row r="659" spans="2:23" x14ac:dyDescent="0.25">
      <c r="W659" s="263"/>
    </row>
    <row r="660" spans="2:23" x14ac:dyDescent="0.25">
      <c r="B660" s="264"/>
      <c r="G660" s="263"/>
      <c r="H660" s="263"/>
      <c r="I660" s="263"/>
      <c r="J660" s="263"/>
      <c r="K660" s="263"/>
      <c r="L660" s="263"/>
      <c r="M660" s="263"/>
      <c r="N660" s="263"/>
      <c r="O660" s="263"/>
      <c r="P660" s="263"/>
      <c r="Q660" s="263"/>
      <c r="R660" s="263"/>
      <c r="S660" s="263"/>
      <c r="T660" s="263"/>
      <c r="U660" s="263"/>
      <c r="W660" s="263"/>
    </row>
    <row r="661" spans="2:23" x14ac:dyDescent="0.25">
      <c r="B661" s="264"/>
      <c r="G661" s="263"/>
      <c r="H661" s="263"/>
      <c r="I661" s="263"/>
      <c r="J661" s="263"/>
      <c r="K661" s="263"/>
      <c r="L661" s="263"/>
      <c r="M661" s="263"/>
      <c r="N661" s="263"/>
      <c r="O661" s="263"/>
      <c r="P661" s="263"/>
      <c r="Q661" s="263"/>
      <c r="R661" s="263"/>
      <c r="S661" s="263"/>
      <c r="T661" s="263"/>
      <c r="U661" s="263"/>
      <c r="W661" s="263"/>
    </row>
    <row r="662" spans="2:23" x14ac:dyDescent="0.25"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263"/>
      <c r="T662" s="263"/>
      <c r="U662" s="263"/>
      <c r="W662" s="263"/>
    </row>
    <row r="663" spans="2:23" x14ac:dyDescent="0.25"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/>
      <c r="S663" s="263"/>
      <c r="T663" s="263"/>
      <c r="U663" s="263"/>
      <c r="W663" s="263"/>
    </row>
    <row r="664" spans="2:23" x14ac:dyDescent="0.25"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/>
      <c r="S664" s="263"/>
      <c r="T664" s="263"/>
      <c r="U664" s="263"/>
      <c r="W664" s="263"/>
    </row>
    <row r="665" spans="2:23" x14ac:dyDescent="0.25"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/>
      <c r="S665" s="263"/>
      <c r="T665" s="263"/>
      <c r="U665" s="263"/>
    </row>
    <row r="667" spans="2:23" x14ac:dyDescent="0.25">
      <c r="W667" s="263"/>
    </row>
    <row r="668" spans="2:23" x14ac:dyDescent="0.25">
      <c r="B668" s="264"/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/>
      <c r="S668" s="263"/>
      <c r="T668" s="263"/>
      <c r="U668" s="263"/>
    </row>
    <row r="670" spans="2:23" x14ac:dyDescent="0.25">
      <c r="W670" s="263"/>
    </row>
    <row r="671" spans="2:23" x14ac:dyDescent="0.25">
      <c r="B671" s="264"/>
      <c r="G671" s="263"/>
      <c r="H671" s="263"/>
      <c r="I671" s="263"/>
      <c r="J671" s="263"/>
      <c r="K671" s="263"/>
      <c r="L671" s="263"/>
      <c r="M671" s="263"/>
      <c r="N671" s="263"/>
      <c r="O671" s="263"/>
      <c r="P671" s="263"/>
      <c r="Q671" s="263"/>
      <c r="R671" s="263"/>
      <c r="S671" s="263"/>
      <c r="T671" s="263"/>
      <c r="U671" s="263"/>
      <c r="W671" s="263"/>
    </row>
    <row r="672" spans="2:23" x14ac:dyDescent="0.25">
      <c r="B672" s="264"/>
      <c r="G672" s="263"/>
      <c r="H672" s="263"/>
      <c r="I672" s="263"/>
      <c r="J672" s="263"/>
      <c r="K672" s="263"/>
      <c r="L672" s="263"/>
      <c r="M672" s="263"/>
      <c r="N672" s="263"/>
      <c r="O672" s="263"/>
      <c r="P672" s="263"/>
      <c r="Q672" s="263"/>
      <c r="R672" s="263"/>
      <c r="S672" s="263"/>
      <c r="T672" s="263"/>
      <c r="U672" s="263"/>
      <c r="W672" s="263"/>
    </row>
    <row r="673" spans="2:23" x14ac:dyDescent="0.25">
      <c r="B673" s="264"/>
      <c r="G673" s="263"/>
      <c r="H673" s="263"/>
      <c r="I673" s="263"/>
      <c r="J673" s="263"/>
      <c r="K673" s="263"/>
      <c r="L673" s="263"/>
      <c r="M673" s="263"/>
      <c r="N673" s="263"/>
      <c r="O673" s="263"/>
      <c r="P673" s="263"/>
      <c r="Q673" s="263"/>
      <c r="R673" s="263"/>
      <c r="S673" s="263"/>
      <c r="T673" s="263"/>
      <c r="U673" s="263"/>
      <c r="W673" s="263"/>
    </row>
    <row r="674" spans="2:23" x14ac:dyDescent="0.25">
      <c r="B674" s="264"/>
      <c r="G674" s="263"/>
      <c r="H674" s="263"/>
      <c r="I674" s="263"/>
      <c r="J674" s="263"/>
      <c r="K674" s="263"/>
      <c r="L674" s="263"/>
      <c r="M674" s="263"/>
      <c r="N674" s="263"/>
      <c r="O674" s="263"/>
      <c r="P674" s="263"/>
      <c r="Q674" s="263"/>
      <c r="R674" s="263"/>
      <c r="S674" s="263"/>
      <c r="T674" s="263"/>
      <c r="U674" s="263"/>
    </row>
    <row r="678" spans="2:23" x14ac:dyDescent="0.25">
      <c r="W678" s="263"/>
    </row>
    <row r="679" spans="2:23" x14ac:dyDescent="0.25">
      <c r="G679" s="263"/>
      <c r="H679" s="263"/>
      <c r="I679" s="263"/>
      <c r="J679" s="263"/>
      <c r="K679" s="263"/>
      <c r="L679" s="263"/>
      <c r="M679" s="263"/>
      <c r="N679" s="263"/>
      <c r="O679" s="263"/>
      <c r="P679" s="263"/>
      <c r="Q679" s="263"/>
      <c r="R679" s="263"/>
      <c r="S679" s="263"/>
      <c r="T679" s="263"/>
      <c r="U679" s="263"/>
      <c r="W679" s="263"/>
    </row>
    <row r="680" spans="2:23" x14ac:dyDescent="0.25">
      <c r="G680" s="263"/>
      <c r="H680" s="263"/>
      <c r="I680" s="263"/>
      <c r="J680" s="263"/>
      <c r="K680" s="263"/>
      <c r="L680" s="263"/>
      <c r="M680" s="263"/>
      <c r="N680" s="263"/>
      <c r="O680" s="263"/>
      <c r="P680" s="263"/>
      <c r="Q680" s="263"/>
      <c r="R680" s="263"/>
      <c r="S680" s="263"/>
      <c r="T680" s="263"/>
      <c r="U680" s="263"/>
      <c r="W680" s="263"/>
    </row>
    <row r="681" spans="2:23" x14ac:dyDescent="0.25"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/>
      <c r="S681" s="263"/>
      <c r="T681" s="263"/>
      <c r="U681" s="263"/>
      <c r="W681" s="263"/>
    </row>
    <row r="682" spans="2:23" x14ac:dyDescent="0.25">
      <c r="G682" s="263"/>
      <c r="H682" s="263"/>
      <c r="I682" s="263"/>
      <c r="J682" s="263"/>
      <c r="K682" s="263"/>
      <c r="L682" s="263"/>
      <c r="M682" s="263"/>
      <c r="N682" s="263"/>
      <c r="O682" s="263"/>
      <c r="P682" s="263"/>
      <c r="Q682" s="263"/>
      <c r="R682" s="263"/>
      <c r="S682" s="263"/>
      <c r="T682" s="263"/>
      <c r="U682" s="263"/>
      <c r="W682" s="263"/>
    </row>
    <row r="683" spans="2:23" x14ac:dyDescent="0.25">
      <c r="G683" s="263"/>
      <c r="H683" s="263"/>
      <c r="I683" s="263"/>
      <c r="J683" s="263"/>
      <c r="K683" s="263"/>
      <c r="L683" s="263"/>
      <c r="M683" s="263"/>
      <c r="N683" s="263"/>
      <c r="O683" s="263"/>
      <c r="P683" s="263"/>
      <c r="Q683" s="263"/>
      <c r="R683" s="263"/>
      <c r="S683" s="263"/>
      <c r="T683" s="263"/>
      <c r="U683" s="263"/>
      <c r="W683" s="263"/>
    </row>
    <row r="684" spans="2:23" x14ac:dyDescent="0.25">
      <c r="G684" s="263"/>
      <c r="H684" s="263"/>
      <c r="I684" s="263"/>
      <c r="J684" s="263"/>
      <c r="K684" s="263"/>
      <c r="L684" s="263"/>
      <c r="M684" s="263"/>
      <c r="N684" s="263"/>
      <c r="O684" s="263"/>
      <c r="P684" s="263"/>
      <c r="Q684" s="263"/>
      <c r="R684" s="263"/>
      <c r="S684" s="263"/>
      <c r="T684" s="263"/>
      <c r="U684" s="263"/>
      <c r="W684" s="263"/>
    </row>
    <row r="685" spans="2:23" x14ac:dyDescent="0.25">
      <c r="G685" s="263"/>
      <c r="H685" s="263"/>
      <c r="I685" s="263"/>
      <c r="J685" s="263"/>
      <c r="K685" s="263"/>
      <c r="L685" s="263"/>
      <c r="M685" s="263"/>
      <c r="N685" s="263"/>
      <c r="O685" s="263"/>
      <c r="P685" s="263"/>
      <c r="Q685" s="263"/>
      <c r="R685" s="263"/>
      <c r="S685" s="263"/>
      <c r="T685" s="263"/>
      <c r="U685" s="263"/>
      <c r="W685" s="263"/>
    </row>
    <row r="686" spans="2:23" x14ac:dyDescent="0.25">
      <c r="G686" s="263"/>
      <c r="H686" s="263"/>
      <c r="I686" s="263"/>
      <c r="J686" s="263"/>
      <c r="K686" s="263"/>
      <c r="L686" s="263"/>
      <c r="M686" s="263"/>
      <c r="N686" s="263"/>
      <c r="O686" s="263"/>
      <c r="P686" s="263"/>
      <c r="Q686" s="263"/>
      <c r="R686" s="263"/>
      <c r="S686" s="263"/>
      <c r="T686" s="263"/>
      <c r="U686" s="263"/>
      <c r="W686" s="263"/>
    </row>
    <row r="687" spans="2:23" x14ac:dyDescent="0.25">
      <c r="G687" s="263"/>
      <c r="H687" s="263"/>
      <c r="I687" s="263"/>
      <c r="J687" s="263"/>
      <c r="K687" s="263"/>
      <c r="L687" s="263"/>
      <c r="M687" s="263"/>
      <c r="N687" s="263"/>
      <c r="O687" s="263"/>
      <c r="P687" s="263"/>
      <c r="Q687" s="263"/>
      <c r="R687" s="263"/>
      <c r="S687" s="263"/>
      <c r="T687" s="263"/>
      <c r="U687" s="263"/>
      <c r="W687" s="263"/>
    </row>
    <row r="688" spans="2:23" x14ac:dyDescent="0.25">
      <c r="G688" s="263"/>
      <c r="H688" s="263"/>
      <c r="I688" s="263"/>
      <c r="J688" s="263"/>
      <c r="K688" s="263"/>
      <c r="L688" s="263"/>
      <c r="M688" s="263"/>
      <c r="N688" s="263"/>
      <c r="O688" s="263"/>
      <c r="P688" s="263"/>
      <c r="Q688" s="263"/>
      <c r="R688" s="263"/>
      <c r="S688" s="263"/>
      <c r="T688" s="263"/>
      <c r="U688" s="263"/>
    </row>
    <row r="690" spans="7:23" x14ac:dyDescent="0.25">
      <c r="W690" s="263"/>
    </row>
    <row r="691" spans="7:23" x14ac:dyDescent="0.25">
      <c r="G691" s="263"/>
      <c r="H691" s="263"/>
      <c r="I691" s="263"/>
      <c r="J691" s="263"/>
      <c r="K691" s="263"/>
      <c r="L691" s="263"/>
      <c r="M691" s="263"/>
      <c r="N691" s="263"/>
      <c r="O691" s="263"/>
      <c r="P691" s="263"/>
      <c r="Q691" s="263"/>
      <c r="R691" s="263"/>
      <c r="S691" s="263"/>
      <c r="T691" s="263"/>
      <c r="U691" s="263"/>
      <c r="W691" s="263"/>
    </row>
    <row r="692" spans="7:23" x14ac:dyDescent="0.25">
      <c r="G692" s="263"/>
      <c r="H692" s="263"/>
      <c r="I692" s="263"/>
      <c r="J692" s="263"/>
      <c r="K692" s="263"/>
      <c r="L692" s="263"/>
      <c r="M692" s="263"/>
      <c r="N692" s="263"/>
      <c r="O692" s="263"/>
      <c r="P692" s="263"/>
      <c r="Q692" s="263"/>
      <c r="R692" s="263"/>
      <c r="S692" s="263"/>
      <c r="T692" s="263"/>
      <c r="U692" s="263"/>
      <c r="W692" s="263"/>
    </row>
    <row r="693" spans="7:23" x14ac:dyDescent="0.25">
      <c r="G693" s="263"/>
      <c r="H693" s="263"/>
      <c r="I693" s="263"/>
      <c r="J693" s="263"/>
      <c r="K693" s="263"/>
      <c r="L693" s="263"/>
      <c r="M693" s="263"/>
      <c r="N693" s="263"/>
      <c r="O693" s="263"/>
      <c r="P693" s="263"/>
      <c r="Q693" s="263"/>
      <c r="R693" s="263"/>
      <c r="S693" s="263"/>
      <c r="T693" s="263"/>
      <c r="U693" s="263"/>
      <c r="W693" s="263"/>
    </row>
    <row r="694" spans="7:23" x14ac:dyDescent="0.25">
      <c r="G694" s="263"/>
      <c r="H694" s="263"/>
      <c r="I694" s="263"/>
      <c r="J694" s="263"/>
      <c r="K694" s="263"/>
      <c r="L694" s="263"/>
      <c r="M694" s="263"/>
      <c r="N694" s="263"/>
      <c r="O694" s="263"/>
      <c r="P694" s="263"/>
      <c r="Q694" s="263"/>
      <c r="R694" s="263"/>
      <c r="S694" s="263"/>
      <c r="T694" s="263"/>
      <c r="U694" s="263"/>
      <c r="W694" s="263"/>
    </row>
    <row r="695" spans="7:23" x14ac:dyDescent="0.25">
      <c r="G695" s="263"/>
      <c r="H695" s="263"/>
      <c r="I695" s="263"/>
      <c r="J695" s="263"/>
      <c r="K695" s="263"/>
      <c r="L695" s="263"/>
      <c r="M695" s="263"/>
      <c r="N695" s="263"/>
      <c r="O695" s="263"/>
      <c r="P695" s="263"/>
      <c r="Q695" s="263"/>
      <c r="R695" s="263"/>
      <c r="S695" s="263"/>
      <c r="T695" s="263"/>
      <c r="U695" s="263"/>
      <c r="W695" s="263"/>
    </row>
    <row r="696" spans="7:23" x14ac:dyDescent="0.25">
      <c r="G696" s="263"/>
      <c r="H696" s="263"/>
      <c r="I696" s="263"/>
      <c r="J696" s="263"/>
      <c r="K696" s="263"/>
      <c r="L696" s="263"/>
      <c r="M696" s="263"/>
      <c r="N696" s="263"/>
      <c r="O696" s="263"/>
      <c r="P696" s="263"/>
      <c r="Q696" s="263"/>
      <c r="R696" s="263"/>
      <c r="S696" s="263"/>
      <c r="T696" s="263"/>
      <c r="U696" s="263"/>
      <c r="W696" s="263"/>
    </row>
    <row r="697" spans="7:23" x14ac:dyDescent="0.25">
      <c r="G697" s="263"/>
      <c r="H697" s="263"/>
      <c r="I697" s="263"/>
      <c r="J697" s="263"/>
      <c r="K697" s="263"/>
      <c r="L697" s="263"/>
      <c r="M697" s="263"/>
      <c r="N697" s="263"/>
      <c r="O697" s="263"/>
      <c r="P697" s="263"/>
      <c r="Q697" s="263"/>
      <c r="R697" s="263"/>
      <c r="S697" s="263"/>
      <c r="T697" s="263"/>
      <c r="U697" s="263"/>
      <c r="W697" s="263"/>
    </row>
    <row r="698" spans="7:23" x14ac:dyDescent="0.25">
      <c r="G698" s="263"/>
      <c r="H698" s="263"/>
      <c r="I698" s="263"/>
      <c r="J698" s="263"/>
      <c r="K698" s="263"/>
      <c r="L698" s="263"/>
      <c r="M698" s="263"/>
      <c r="N698" s="263"/>
      <c r="O698" s="263"/>
      <c r="P698" s="263"/>
      <c r="Q698" s="263"/>
      <c r="R698" s="263"/>
      <c r="S698" s="263"/>
      <c r="T698" s="263"/>
      <c r="U698" s="263"/>
      <c r="W698" s="263"/>
    </row>
    <row r="699" spans="7:23" x14ac:dyDescent="0.25">
      <c r="G699" s="263"/>
      <c r="H699" s="263"/>
      <c r="I699" s="263"/>
      <c r="J699" s="263"/>
      <c r="K699" s="263"/>
      <c r="L699" s="263"/>
      <c r="M699" s="263"/>
      <c r="N699" s="263"/>
      <c r="O699" s="263"/>
      <c r="P699" s="263"/>
      <c r="Q699" s="263"/>
      <c r="R699" s="263"/>
      <c r="S699" s="263"/>
      <c r="T699" s="263"/>
      <c r="U699" s="263"/>
    </row>
    <row r="701" spans="7:23" x14ac:dyDescent="0.25">
      <c r="W701" s="263"/>
    </row>
    <row r="702" spans="7:23" x14ac:dyDescent="0.25">
      <c r="G702" s="263"/>
      <c r="H702" s="263"/>
      <c r="I702" s="263"/>
      <c r="J702" s="263"/>
      <c r="K702" s="263"/>
      <c r="L702" s="263"/>
      <c r="M702" s="263"/>
      <c r="N702" s="263"/>
      <c r="O702" s="263"/>
      <c r="P702" s="263"/>
      <c r="Q702" s="263"/>
      <c r="R702" s="263"/>
      <c r="S702" s="263"/>
      <c r="T702" s="263"/>
      <c r="U702" s="263"/>
      <c r="W702" s="263"/>
    </row>
    <row r="703" spans="7:23" x14ac:dyDescent="0.25">
      <c r="G703" s="263"/>
      <c r="H703" s="263"/>
      <c r="I703" s="263"/>
      <c r="J703" s="263"/>
      <c r="K703" s="263"/>
      <c r="L703" s="263"/>
      <c r="M703" s="263"/>
      <c r="N703" s="263"/>
      <c r="O703" s="263"/>
      <c r="P703" s="263"/>
      <c r="Q703" s="263"/>
      <c r="R703" s="263"/>
      <c r="S703" s="263"/>
      <c r="T703" s="263"/>
      <c r="U703" s="263"/>
      <c r="W703" s="263"/>
    </row>
    <row r="704" spans="7:23" x14ac:dyDescent="0.25">
      <c r="G704" s="263"/>
      <c r="H704" s="263"/>
      <c r="I704" s="263"/>
      <c r="J704" s="263"/>
      <c r="K704" s="263"/>
      <c r="L704" s="263"/>
      <c r="M704" s="263"/>
      <c r="N704" s="263"/>
      <c r="O704" s="263"/>
      <c r="P704" s="263"/>
      <c r="Q704" s="263"/>
      <c r="R704" s="263"/>
      <c r="S704" s="263"/>
      <c r="T704" s="263"/>
      <c r="U704" s="263"/>
      <c r="W704" s="263"/>
    </row>
    <row r="705" spans="7:23" x14ac:dyDescent="0.25">
      <c r="G705" s="263"/>
      <c r="H705" s="263"/>
      <c r="I705" s="263"/>
      <c r="J705" s="263"/>
      <c r="K705" s="263"/>
      <c r="L705" s="263"/>
      <c r="M705" s="263"/>
      <c r="N705" s="263"/>
      <c r="O705" s="263"/>
      <c r="P705" s="263"/>
      <c r="Q705" s="263"/>
      <c r="R705" s="263"/>
      <c r="S705" s="263"/>
      <c r="T705" s="263"/>
      <c r="U705" s="263"/>
    </row>
    <row r="707" spans="7:23" x14ac:dyDescent="0.25">
      <c r="W707" s="263"/>
    </row>
    <row r="708" spans="7:23" x14ac:dyDescent="0.25"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/>
      <c r="S708" s="263"/>
      <c r="T708" s="263"/>
      <c r="U708" s="263"/>
      <c r="W708" s="263"/>
    </row>
    <row r="709" spans="7:23" x14ac:dyDescent="0.25"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/>
      <c r="S709" s="263"/>
      <c r="T709" s="263"/>
      <c r="U709" s="263"/>
      <c r="W709" s="263"/>
    </row>
    <row r="710" spans="7:23" x14ac:dyDescent="0.25"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/>
      <c r="S710" s="263"/>
      <c r="T710" s="263"/>
      <c r="U710" s="263"/>
    </row>
    <row r="712" spans="7:23" x14ac:dyDescent="0.25">
      <c r="W712" s="263"/>
    </row>
    <row r="713" spans="7:23" x14ac:dyDescent="0.25"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/>
      <c r="S713" s="263"/>
      <c r="T713" s="263"/>
      <c r="U713" s="263"/>
    </row>
    <row r="715" spans="7:23" x14ac:dyDescent="0.25">
      <c r="W715" s="263"/>
    </row>
    <row r="716" spans="7:23" x14ac:dyDescent="0.25"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/>
      <c r="S716" s="263"/>
      <c r="T716" s="263"/>
      <c r="U716" s="263"/>
      <c r="W716" s="263"/>
    </row>
    <row r="717" spans="7:23" x14ac:dyDescent="0.25"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/>
      <c r="T717" s="263"/>
      <c r="U717" s="263"/>
      <c r="W717" s="263"/>
    </row>
    <row r="718" spans="7:23" x14ac:dyDescent="0.25">
      <c r="G718" s="263"/>
      <c r="H718" s="263"/>
      <c r="I718" s="263"/>
      <c r="J718" s="263"/>
      <c r="K718" s="263"/>
      <c r="L718" s="263"/>
      <c r="M718" s="263"/>
      <c r="N718" s="263"/>
      <c r="O718" s="263"/>
      <c r="P718" s="263"/>
      <c r="Q718" s="263"/>
      <c r="R718" s="263"/>
      <c r="S718" s="263"/>
      <c r="T718" s="263"/>
      <c r="U718" s="263"/>
      <c r="W718" s="263"/>
    </row>
    <row r="719" spans="7:23" x14ac:dyDescent="0.25">
      <c r="G719" s="263"/>
      <c r="H719" s="263"/>
      <c r="I719" s="263"/>
      <c r="J719" s="263"/>
      <c r="K719" s="263"/>
      <c r="L719" s="263"/>
      <c r="M719" s="263"/>
      <c r="N719" s="263"/>
      <c r="O719" s="263"/>
      <c r="P719" s="263"/>
      <c r="Q719" s="263"/>
      <c r="R719" s="263"/>
      <c r="S719" s="263"/>
      <c r="T719" s="263"/>
      <c r="U719" s="263"/>
      <c r="W719" s="263"/>
    </row>
    <row r="720" spans="7:23" x14ac:dyDescent="0.25">
      <c r="G720" s="263"/>
      <c r="H720" s="263"/>
      <c r="I720" s="263"/>
      <c r="J720" s="263"/>
      <c r="K720" s="263"/>
      <c r="L720" s="263"/>
      <c r="M720" s="263"/>
      <c r="N720" s="263"/>
      <c r="O720" s="263"/>
      <c r="P720" s="263"/>
      <c r="Q720" s="263"/>
      <c r="R720" s="263"/>
      <c r="S720" s="263"/>
      <c r="T720" s="263"/>
      <c r="U720" s="263"/>
      <c r="W720" s="263"/>
    </row>
    <row r="721" spans="7:23" x14ac:dyDescent="0.25">
      <c r="G721" s="263"/>
      <c r="H721" s="263"/>
      <c r="I721" s="263"/>
      <c r="J721" s="263"/>
      <c r="K721" s="263"/>
      <c r="L721" s="263"/>
      <c r="M721" s="263"/>
      <c r="N721" s="263"/>
      <c r="O721" s="263"/>
      <c r="P721" s="263"/>
      <c r="Q721" s="263"/>
      <c r="R721" s="263"/>
      <c r="S721" s="263"/>
      <c r="T721" s="263"/>
      <c r="U721" s="263"/>
      <c r="W721" s="263"/>
    </row>
    <row r="722" spans="7:23" x14ac:dyDescent="0.25">
      <c r="G722" s="263"/>
      <c r="H722" s="263"/>
      <c r="I722" s="263"/>
      <c r="J722" s="263"/>
      <c r="K722" s="263"/>
      <c r="L722" s="263"/>
      <c r="M722" s="263"/>
      <c r="N722" s="263"/>
      <c r="O722" s="263"/>
      <c r="P722" s="263"/>
      <c r="Q722" s="263"/>
      <c r="R722" s="263"/>
      <c r="S722" s="263"/>
      <c r="T722" s="263"/>
      <c r="U722" s="263"/>
    </row>
    <row r="724" spans="7:23" x14ac:dyDescent="0.25">
      <c r="W724" s="263"/>
    </row>
    <row r="725" spans="7:23" x14ac:dyDescent="0.25">
      <c r="G725" s="263"/>
      <c r="H725" s="263"/>
      <c r="I725" s="263"/>
      <c r="J725" s="263"/>
      <c r="K725" s="263"/>
      <c r="L725" s="263"/>
      <c r="M725" s="263"/>
      <c r="N725" s="263"/>
      <c r="O725" s="263"/>
      <c r="P725" s="263"/>
      <c r="Q725" s="263"/>
      <c r="R725" s="263"/>
      <c r="S725" s="263"/>
      <c r="T725" s="263"/>
      <c r="U725" s="263"/>
      <c r="W725" s="263"/>
    </row>
    <row r="726" spans="7:23" x14ac:dyDescent="0.25">
      <c r="G726" s="263"/>
      <c r="H726" s="263"/>
      <c r="I726" s="263"/>
      <c r="J726" s="263"/>
      <c r="K726" s="263"/>
      <c r="L726" s="263"/>
      <c r="M726" s="263"/>
      <c r="N726" s="263"/>
      <c r="O726" s="263"/>
      <c r="P726" s="263"/>
      <c r="Q726" s="263"/>
      <c r="R726" s="263"/>
      <c r="S726" s="263"/>
      <c r="T726" s="263"/>
      <c r="U726" s="263"/>
      <c r="W726" s="263"/>
    </row>
    <row r="727" spans="7:23" x14ac:dyDescent="0.25">
      <c r="G727" s="263"/>
      <c r="H727" s="263"/>
      <c r="I727" s="263"/>
      <c r="J727" s="263"/>
      <c r="K727" s="263"/>
      <c r="L727" s="263"/>
      <c r="M727" s="263"/>
      <c r="N727" s="263"/>
      <c r="O727" s="263"/>
      <c r="P727" s="263"/>
      <c r="Q727" s="263"/>
      <c r="R727" s="263"/>
      <c r="S727" s="263"/>
      <c r="T727" s="263"/>
      <c r="U727" s="263"/>
      <c r="W727" s="263"/>
    </row>
    <row r="728" spans="7:23" x14ac:dyDescent="0.25">
      <c r="G728" s="263"/>
      <c r="H728" s="263"/>
      <c r="I728" s="263"/>
      <c r="J728" s="263"/>
      <c r="K728" s="263"/>
      <c r="L728" s="263"/>
      <c r="M728" s="263"/>
      <c r="N728" s="263"/>
      <c r="O728" s="263"/>
      <c r="P728" s="263"/>
      <c r="Q728" s="263"/>
      <c r="R728" s="263"/>
      <c r="S728" s="263"/>
      <c r="T728" s="263"/>
      <c r="U728" s="263"/>
    </row>
    <row r="730" spans="7:23" x14ac:dyDescent="0.25">
      <c r="W730" s="263"/>
    </row>
    <row r="731" spans="7:23" x14ac:dyDescent="0.25">
      <c r="G731" s="263"/>
      <c r="H731" s="263"/>
      <c r="I731" s="263"/>
      <c r="J731" s="263"/>
      <c r="K731" s="263"/>
      <c r="L731" s="263"/>
      <c r="M731" s="263"/>
      <c r="N731" s="263"/>
      <c r="O731" s="263"/>
      <c r="P731" s="263"/>
      <c r="Q731" s="263"/>
      <c r="R731" s="263"/>
      <c r="S731" s="263"/>
      <c r="T731" s="263"/>
      <c r="U731" s="263"/>
      <c r="W731" s="263"/>
    </row>
    <row r="732" spans="7:23" x14ac:dyDescent="0.25">
      <c r="G732" s="263"/>
      <c r="H732" s="263"/>
      <c r="I732" s="263"/>
      <c r="J732" s="263"/>
      <c r="K732" s="263"/>
      <c r="L732" s="263"/>
      <c r="M732" s="263"/>
      <c r="N732" s="263"/>
      <c r="O732" s="263"/>
      <c r="P732" s="263"/>
      <c r="Q732" s="263"/>
      <c r="R732" s="263"/>
      <c r="S732" s="263"/>
      <c r="T732" s="263"/>
      <c r="U732" s="263"/>
      <c r="W732" s="263"/>
    </row>
    <row r="733" spans="7:23" x14ac:dyDescent="0.25">
      <c r="G733" s="263"/>
      <c r="H733" s="263"/>
      <c r="I733" s="263"/>
      <c r="J733" s="263"/>
      <c r="K733" s="263"/>
      <c r="L733" s="263"/>
      <c r="M733" s="263"/>
      <c r="N733" s="263"/>
      <c r="O733" s="263"/>
      <c r="P733" s="263"/>
      <c r="Q733" s="263"/>
      <c r="R733" s="263"/>
      <c r="S733" s="263"/>
      <c r="T733" s="263"/>
      <c r="U733" s="263"/>
      <c r="W733" s="263"/>
    </row>
    <row r="734" spans="7:23" x14ac:dyDescent="0.25">
      <c r="G734" s="263"/>
      <c r="H734" s="263"/>
      <c r="I734" s="263"/>
      <c r="J734" s="263"/>
      <c r="K734" s="263"/>
      <c r="L734" s="263"/>
      <c r="M734" s="263"/>
      <c r="N734" s="263"/>
      <c r="O734" s="263"/>
      <c r="P734" s="263"/>
      <c r="Q734" s="263"/>
      <c r="R734" s="263"/>
      <c r="S734" s="263"/>
      <c r="T734" s="263"/>
      <c r="U734" s="263"/>
    </row>
    <row r="736" spans="7:23" x14ac:dyDescent="0.25">
      <c r="W736" s="263"/>
    </row>
    <row r="737" spans="7:23" x14ac:dyDescent="0.25">
      <c r="G737" s="263"/>
      <c r="H737" s="263"/>
      <c r="I737" s="263"/>
      <c r="J737" s="263"/>
      <c r="K737" s="263"/>
      <c r="L737" s="263"/>
      <c r="M737" s="263"/>
      <c r="N737" s="263"/>
      <c r="O737" s="263"/>
      <c r="P737" s="263"/>
      <c r="Q737" s="263"/>
      <c r="R737" s="263"/>
      <c r="S737" s="263"/>
      <c r="T737" s="263"/>
      <c r="U737" s="263"/>
      <c r="W737" s="263"/>
    </row>
    <row r="738" spans="7:23" x14ac:dyDescent="0.25">
      <c r="G738" s="263"/>
      <c r="H738" s="263"/>
      <c r="I738" s="263"/>
      <c r="J738" s="263"/>
      <c r="K738" s="263"/>
      <c r="L738" s="263"/>
      <c r="M738" s="263"/>
      <c r="N738" s="263"/>
      <c r="O738" s="263"/>
      <c r="P738" s="263"/>
      <c r="Q738" s="263"/>
      <c r="R738" s="263"/>
      <c r="S738" s="263"/>
      <c r="T738" s="263"/>
      <c r="U738" s="263"/>
      <c r="W738" s="263"/>
    </row>
    <row r="739" spans="7:23" x14ac:dyDescent="0.25">
      <c r="G739" s="263"/>
      <c r="H739" s="263"/>
      <c r="I739" s="263"/>
      <c r="J739" s="263"/>
      <c r="K739" s="263"/>
      <c r="L739" s="263"/>
      <c r="M739" s="263"/>
      <c r="N739" s="263"/>
      <c r="O739" s="263"/>
      <c r="P739" s="263"/>
      <c r="Q739" s="263"/>
      <c r="R739" s="263"/>
      <c r="S739" s="263"/>
      <c r="T739" s="263"/>
      <c r="U739" s="263"/>
      <c r="W739" s="263"/>
    </row>
    <row r="740" spans="7:23" x14ac:dyDescent="0.25">
      <c r="G740" s="263"/>
      <c r="H740" s="263"/>
      <c r="I740" s="263"/>
      <c r="J740" s="263"/>
      <c r="K740" s="263"/>
      <c r="L740" s="263"/>
      <c r="M740" s="263"/>
      <c r="N740" s="263"/>
      <c r="O740" s="263"/>
      <c r="P740" s="263"/>
      <c r="Q740" s="263"/>
      <c r="R740" s="263"/>
      <c r="S740" s="263"/>
      <c r="T740" s="263"/>
      <c r="U740" s="263"/>
    </row>
    <row r="742" spans="7:23" x14ac:dyDescent="0.25">
      <c r="W742" s="263"/>
    </row>
    <row r="743" spans="7:23" x14ac:dyDescent="0.25">
      <c r="G743" s="263"/>
      <c r="H743" s="263"/>
      <c r="I743" s="263"/>
      <c r="J743" s="263"/>
      <c r="K743" s="263"/>
      <c r="L743" s="263"/>
      <c r="M743" s="263"/>
      <c r="N743" s="263"/>
      <c r="O743" s="263"/>
      <c r="P743" s="263"/>
      <c r="Q743" s="263"/>
      <c r="R743" s="263"/>
      <c r="S743" s="263"/>
      <c r="T743" s="263"/>
      <c r="U743" s="263"/>
      <c r="W743" s="263"/>
    </row>
    <row r="744" spans="7:23" x14ac:dyDescent="0.25">
      <c r="G744" s="263"/>
      <c r="H744" s="263"/>
      <c r="I744" s="263"/>
      <c r="J744" s="263"/>
      <c r="K744" s="263"/>
      <c r="L744" s="263"/>
      <c r="M744" s="263"/>
      <c r="N744" s="263"/>
      <c r="O744" s="263"/>
      <c r="P744" s="263"/>
      <c r="Q744" s="263"/>
      <c r="R744" s="263"/>
      <c r="S744" s="263"/>
      <c r="T744" s="263"/>
      <c r="U744" s="263"/>
      <c r="W744" s="263"/>
    </row>
    <row r="745" spans="7:23" x14ac:dyDescent="0.25">
      <c r="G745" s="263"/>
      <c r="H745" s="263"/>
      <c r="I745" s="263"/>
      <c r="J745" s="263"/>
      <c r="K745" s="263"/>
      <c r="L745" s="263"/>
      <c r="M745" s="263"/>
      <c r="N745" s="263"/>
      <c r="O745" s="263"/>
      <c r="P745" s="263"/>
      <c r="Q745" s="263"/>
      <c r="R745" s="263"/>
      <c r="S745" s="263"/>
      <c r="T745" s="263"/>
      <c r="U745" s="263"/>
      <c r="W745" s="263"/>
    </row>
    <row r="746" spans="7:23" x14ac:dyDescent="0.25">
      <c r="G746" s="263"/>
      <c r="H746" s="263"/>
      <c r="I746" s="263"/>
      <c r="J746" s="263"/>
      <c r="K746" s="263"/>
      <c r="L746" s="263"/>
      <c r="M746" s="263"/>
      <c r="N746" s="263"/>
      <c r="O746" s="263"/>
      <c r="P746" s="263"/>
      <c r="Q746" s="263"/>
      <c r="R746" s="263"/>
      <c r="S746" s="263"/>
      <c r="T746" s="263"/>
      <c r="U746" s="263"/>
    </row>
    <row r="752" spans="7:23" x14ac:dyDescent="0.25">
      <c r="W752" s="263"/>
    </row>
    <row r="753" spans="7:23" x14ac:dyDescent="0.25">
      <c r="G753" s="263"/>
      <c r="H753" s="263"/>
      <c r="I753" s="263"/>
      <c r="J753" s="263"/>
      <c r="K753" s="263"/>
      <c r="L753" s="263"/>
      <c r="M753" s="263"/>
      <c r="N753" s="263"/>
      <c r="O753" s="263"/>
      <c r="P753" s="263"/>
      <c r="Q753" s="263"/>
      <c r="R753" s="263"/>
      <c r="S753" s="263"/>
      <c r="T753" s="263"/>
      <c r="U753" s="263"/>
      <c r="W753" s="263"/>
    </row>
    <row r="754" spans="7:23" x14ac:dyDescent="0.25">
      <c r="G754" s="263"/>
      <c r="H754" s="263"/>
      <c r="I754" s="263"/>
      <c r="J754" s="263"/>
      <c r="K754" s="263"/>
      <c r="L754" s="263"/>
      <c r="M754" s="263"/>
      <c r="N754" s="263"/>
      <c r="O754" s="263"/>
      <c r="P754" s="263"/>
      <c r="Q754" s="263"/>
      <c r="R754" s="263"/>
      <c r="S754" s="263"/>
      <c r="T754" s="263"/>
      <c r="U754" s="263"/>
      <c r="W754" s="263"/>
    </row>
    <row r="755" spans="7:23" x14ac:dyDescent="0.25">
      <c r="G755" s="263"/>
      <c r="H755" s="263"/>
      <c r="I755" s="263"/>
      <c r="J755" s="263"/>
      <c r="K755" s="263"/>
      <c r="L755" s="263"/>
      <c r="M755" s="263"/>
      <c r="N755" s="263"/>
      <c r="O755" s="263"/>
      <c r="P755" s="263"/>
      <c r="Q755" s="263"/>
      <c r="R755" s="263"/>
      <c r="S755" s="263"/>
      <c r="T755" s="263"/>
      <c r="U755" s="263"/>
      <c r="W755" s="263"/>
    </row>
    <row r="756" spans="7:23" x14ac:dyDescent="0.25">
      <c r="G756" s="263"/>
      <c r="H756" s="263"/>
      <c r="I756" s="263"/>
      <c r="J756" s="263"/>
      <c r="K756" s="263"/>
      <c r="L756" s="263"/>
      <c r="M756" s="263"/>
      <c r="N756" s="263"/>
      <c r="O756" s="263"/>
      <c r="P756" s="263"/>
      <c r="Q756" s="263"/>
      <c r="R756" s="263"/>
      <c r="S756" s="263"/>
      <c r="T756" s="263"/>
      <c r="U756" s="263"/>
      <c r="W756" s="263"/>
    </row>
    <row r="757" spans="7:23" x14ac:dyDescent="0.25"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/>
      <c r="S757" s="263"/>
      <c r="T757" s="263"/>
      <c r="U757" s="263"/>
      <c r="W757" s="263"/>
    </row>
    <row r="758" spans="7:23" x14ac:dyDescent="0.25"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/>
      <c r="S758" s="263"/>
      <c r="T758" s="263"/>
      <c r="U758" s="263"/>
      <c r="W758" s="263"/>
    </row>
    <row r="759" spans="7:23" x14ac:dyDescent="0.25">
      <c r="G759" s="263"/>
      <c r="H759" s="263"/>
      <c r="I759" s="263"/>
      <c r="J759" s="263"/>
      <c r="K759" s="263"/>
      <c r="L759" s="263"/>
      <c r="M759" s="263"/>
      <c r="N759" s="263"/>
      <c r="O759" s="263"/>
      <c r="P759" s="263"/>
      <c r="Q759" s="263"/>
      <c r="R759" s="263"/>
      <c r="S759" s="263"/>
      <c r="T759" s="263"/>
      <c r="U759" s="263"/>
      <c r="W759" s="263"/>
    </row>
    <row r="760" spans="7:23" x14ac:dyDescent="0.25">
      <c r="G760" s="263"/>
      <c r="H760" s="263"/>
      <c r="I760" s="263"/>
      <c r="J760" s="263"/>
      <c r="K760" s="263"/>
      <c r="L760" s="263"/>
      <c r="M760" s="263"/>
      <c r="N760" s="263"/>
      <c r="O760" s="263"/>
      <c r="P760" s="263"/>
      <c r="Q760" s="263"/>
      <c r="R760" s="263"/>
      <c r="S760" s="263"/>
      <c r="T760" s="263"/>
      <c r="U760" s="263"/>
      <c r="W760" s="263"/>
    </row>
    <row r="761" spans="7:23" x14ac:dyDescent="0.25">
      <c r="G761" s="263"/>
      <c r="H761" s="263"/>
      <c r="I761" s="263"/>
      <c r="J761" s="263"/>
      <c r="K761" s="263"/>
      <c r="L761" s="263"/>
      <c r="M761" s="263"/>
      <c r="N761" s="263"/>
      <c r="O761" s="263"/>
      <c r="P761" s="263"/>
      <c r="Q761" s="263"/>
      <c r="R761" s="263"/>
      <c r="S761" s="263"/>
      <c r="T761" s="263"/>
      <c r="U761" s="263"/>
      <c r="W761" s="263"/>
    </row>
    <row r="762" spans="7:23" x14ac:dyDescent="0.25">
      <c r="G762" s="263"/>
      <c r="H762" s="263"/>
      <c r="I762" s="263"/>
      <c r="J762" s="263"/>
      <c r="K762" s="263"/>
      <c r="L762" s="263"/>
      <c r="M762" s="263"/>
      <c r="N762" s="263"/>
      <c r="O762" s="263"/>
      <c r="P762" s="263"/>
      <c r="Q762" s="263"/>
      <c r="R762" s="263"/>
      <c r="S762" s="263"/>
      <c r="T762" s="263"/>
      <c r="U762" s="263"/>
      <c r="W762" s="263"/>
    </row>
    <row r="763" spans="7:23" x14ac:dyDescent="0.25">
      <c r="G763" s="263"/>
      <c r="H763" s="263"/>
      <c r="I763" s="263"/>
      <c r="J763" s="263"/>
      <c r="K763" s="263"/>
      <c r="L763" s="263"/>
      <c r="M763" s="263"/>
      <c r="N763" s="263"/>
      <c r="O763" s="263"/>
      <c r="P763" s="263"/>
      <c r="Q763" s="263"/>
      <c r="R763" s="263"/>
      <c r="S763" s="263"/>
      <c r="T763" s="263"/>
      <c r="U763" s="263"/>
    </row>
    <row r="765" spans="7:23" x14ac:dyDescent="0.25">
      <c r="W765" s="263"/>
    </row>
    <row r="766" spans="7:23" x14ac:dyDescent="0.25">
      <c r="G766" s="263"/>
      <c r="H766" s="263"/>
      <c r="I766" s="263"/>
      <c r="J766" s="263"/>
      <c r="K766" s="263"/>
      <c r="L766" s="263"/>
      <c r="M766" s="263"/>
      <c r="N766" s="263"/>
      <c r="O766" s="263"/>
      <c r="P766" s="263"/>
      <c r="Q766" s="263"/>
      <c r="R766" s="263"/>
      <c r="S766" s="263"/>
      <c r="T766" s="263"/>
      <c r="U766" s="263"/>
      <c r="W766" s="263"/>
    </row>
    <row r="767" spans="7:23" x14ac:dyDescent="0.25">
      <c r="G767" s="263"/>
      <c r="H767" s="263"/>
      <c r="I767" s="263"/>
      <c r="J767" s="263"/>
      <c r="K767" s="263"/>
      <c r="L767" s="263"/>
      <c r="M767" s="263"/>
      <c r="N767" s="263"/>
      <c r="O767" s="263"/>
      <c r="P767" s="263"/>
      <c r="Q767" s="263"/>
      <c r="R767" s="263"/>
      <c r="S767" s="263"/>
      <c r="T767" s="263"/>
      <c r="U767" s="263"/>
      <c r="W767" s="263"/>
    </row>
    <row r="768" spans="7:23" x14ac:dyDescent="0.25">
      <c r="G768" s="263"/>
      <c r="H768" s="263"/>
      <c r="I768" s="263"/>
      <c r="J768" s="263"/>
      <c r="K768" s="263"/>
      <c r="L768" s="263"/>
      <c r="M768" s="263"/>
      <c r="N768" s="263"/>
      <c r="O768" s="263"/>
      <c r="P768" s="263"/>
      <c r="Q768" s="263"/>
      <c r="R768" s="263"/>
      <c r="S768" s="263"/>
      <c r="T768" s="263"/>
      <c r="U768" s="263"/>
    </row>
    <row r="770" spans="7:23" x14ac:dyDescent="0.25">
      <c r="W770" s="263"/>
    </row>
    <row r="771" spans="7:23" x14ac:dyDescent="0.25">
      <c r="G771" s="263"/>
      <c r="H771" s="263"/>
      <c r="I771" s="263"/>
      <c r="J771" s="263"/>
      <c r="K771" s="263"/>
      <c r="L771" s="263"/>
      <c r="M771" s="263"/>
      <c r="N771" s="263"/>
      <c r="O771" s="263"/>
      <c r="P771" s="263"/>
      <c r="Q771" s="263"/>
      <c r="R771" s="263"/>
      <c r="S771" s="263"/>
      <c r="T771" s="263"/>
      <c r="U771" s="263"/>
    </row>
    <row r="773" spans="7:23" x14ac:dyDescent="0.25">
      <c r="W773" s="263"/>
    </row>
    <row r="774" spans="7:23" x14ac:dyDescent="0.25">
      <c r="G774" s="263"/>
      <c r="H774" s="263"/>
      <c r="I774" s="263"/>
      <c r="J774" s="263"/>
      <c r="K774" s="263"/>
      <c r="L774" s="263"/>
      <c r="M774" s="263"/>
      <c r="N774" s="263"/>
      <c r="O774" s="263"/>
      <c r="P774" s="263"/>
      <c r="Q774" s="263"/>
      <c r="R774" s="263"/>
      <c r="S774" s="263"/>
      <c r="T774" s="263"/>
      <c r="U774" s="263"/>
      <c r="W774" s="263"/>
    </row>
    <row r="775" spans="7:23" x14ac:dyDescent="0.25">
      <c r="G775" s="263"/>
      <c r="H775" s="263"/>
      <c r="I775" s="263"/>
      <c r="J775" s="263"/>
      <c r="K775" s="263"/>
      <c r="L775" s="263"/>
      <c r="M775" s="263"/>
      <c r="N775" s="263"/>
      <c r="O775" s="263"/>
      <c r="P775" s="263"/>
      <c r="Q775" s="263"/>
      <c r="R775" s="263"/>
      <c r="S775" s="263"/>
      <c r="T775" s="263"/>
      <c r="U775" s="263"/>
    </row>
    <row r="777" spans="7:23" x14ac:dyDescent="0.25">
      <c r="W777" s="263"/>
    </row>
    <row r="778" spans="7:23" x14ac:dyDescent="0.25">
      <c r="G778" s="263"/>
      <c r="H778" s="263"/>
      <c r="I778" s="263"/>
      <c r="J778" s="263"/>
      <c r="K778" s="263"/>
      <c r="L778" s="263"/>
      <c r="M778" s="263"/>
      <c r="N778" s="263"/>
      <c r="O778" s="263"/>
      <c r="P778" s="263"/>
      <c r="Q778" s="263"/>
      <c r="R778" s="263"/>
      <c r="S778" s="263"/>
      <c r="T778" s="263"/>
      <c r="U778" s="263"/>
      <c r="W778" s="263"/>
    </row>
    <row r="779" spans="7:23" x14ac:dyDescent="0.25">
      <c r="G779" s="263"/>
      <c r="H779" s="263"/>
      <c r="I779" s="263"/>
      <c r="J779" s="263"/>
      <c r="K779" s="263"/>
      <c r="L779" s="263"/>
      <c r="M779" s="263"/>
      <c r="N779" s="263"/>
      <c r="O779" s="263"/>
      <c r="P779" s="263"/>
      <c r="Q779" s="263"/>
      <c r="R779" s="263"/>
      <c r="S779" s="263"/>
      <c r="T779" s="263"/>
      <c r="U779" s="263"/>
      <c r="W779" s="263"/>
    </row>
    <row r="780" spans="7:23" x14ac:dyDescent="0.25">
      <c r="G780" s="263"/>
      <c r="H780" s="263"/>
      <c r="I780" s="263"/>
      <c r="J780" s="263"/>
      <c r="K780" s="263"/>
      <c r="L780" s="263"/>
      <c r="M780" s="263"/>
      <c r="N780" s="263"/>
      <c r="O780" s="263"/>
      <c r="P780" s="263"/>
      <c r="Q780" s="263"/>
      <c r="R780" s="263"/>
      <c r="S780" s="263"/>
      <c r="T780" s="263"/>
      <c r="U780" s="263"/>
      <c r="W780" s="263"/>
    </row>
    <row r="781" spans="7:23" x14ac:dyDescent="0.25">
      <c r="G781" s="263"/>
      <c r="H781" s="263"/>
      <c r="I781" s="263"/>
      <c r="J781" s="263"/>
      <c r="K781" s="263"/>
      <c r="L781" s="263"/>
      <c r="M781" s="263"/>
      <c r="N781" s="263"/>
      <c r="O781" s="263"/>
      <c r="P781" s="263"/>
      <c r="Q781" s="263"/>
      <c r="R781" s="263"/>
      <c r="S781" s="263"/>
      <c r="T781" s="263"/>
      <c r="U781" s="263"/>
    </row>
    <row r="789" spans="2:23" x14ac:dyDescent="0.25">
      <c r="W789" s="263"/>
    </row>
    <row r="790" spans="2:23" x14ac:dyDescent="0.25">
      <c r="B790" s="264"/>
      <c r="G790" s="263"/>
      <c r="H790" s="263"/>
      <c r="I790" s="263"/>
      <c r="J790" s="263"/>
      <c r="K790" s="263"/>
      <c r="L790" s="263"/>
      <c r="M790" s="263"/>
      <c r="N790" s="263"/>
      <c r="O790" s="263"/>
      <c r="P790" s="263"/>
      <c r="Q790" s="263"/>
      <c r="R790" s="263"/>
      <c r="S790" s="263"/>
      <c r="T790" s="263"/>
      <c r="U790" s="263"/>
      <c r="W790" s="263"/>
    </row>
    <row r="791" spans="2:23" x14ac:dyDescent="0.25">
      <c r="B791" s="264"/>
      <c r="G791" s="263"/>
      <c r="H791" s="263"/>
      <c r="I791" s="263"/>
      <c r="J791" s="263"/>
      <c r="K791" s="263"/>
      <c r="L791" s="263"/>
      <c r="M791" s="263"/>
      <c r="N791" s="263"/>
      <c r="O791" s="263"/>
      <c r="P791" s="263"/>
      <c r="Q791" s="263"/>
      <c r="R791" s="263"/>
      <c r="S791" s="263"/>
      <c r="T791" s="263"/>
      <c r="U791" s="263"/>
      <c r="W791" s="263"/>
    </row>
    <row r="792" spans="2:23" x14ac:dyDescent="0.25">
      <c r="B792" s="264"/>
      <c r="G792" s="263"/>
      <c r="H792" s="263"/>
      <c r="I792" s="263"/>
      <c r="J792" s="263"/>
      <c r="K792" s="263"/>
      <c r="L792" s="263"/>
      <c r="M792" s="263"/>
      <c r="N792" s="263"/>
      <c r="O792" s="263"/>
      <c r="P792" s="263"/>
      <c r="Q792" s="263"/>
      <c r="R792" s="263"/>
      <c r="S792" s="263"/>
      <c r="T792" s="263"/>
      <c r="U792" s="263"/>
      <c r="W792" s="263"/>
    </row>
    <row r="793" spans="2:23" x14ac:dyDescent="0.25">
      <c r="B793" s="264"/>
      <c r="G793" s="263"/>
      <c r="H793" s="263"/>
      <c r="I793" s="263"/>
      <c r="J793" s="263"/>
      <c r="K793" s="263"/>
      <c r="L793" s="263"/>
      <c r="M793" s="263"/>
      <c r="N793" s="263"/>
      <c r="O793" s="263"/>
      <c r="P793" s="263"/>
      <c r="Q793" s="263"/>
      <c r="R793" s="263"/>
      <c r="S793" s="263"/>
      <c r="T793" s="263"/>
      <c r="U793" s="263"/>
    </row>
    <row r="795" spans="2:23" x14ac:dyDescent="0.25">
      <c r="W795" s="263"/>
    </row>
    <row r="796" spans="2:23" x14ac:dyDescent="0.25">
      <c r="B796" s="264"/>
      <c r="G796" s="263"/>
      <c r="H796" s="263"/>
      <c r="I796" s="263"/>
      <c r="J796" s="263"/>
      <c r="K796" s="263"/>
      <c r="L796" s="263"/>
      <c r="M796" s="263"/>
      <c r="N796" s="263"/>
      <c r="O796" s="263"/>
      <c r="P796" s="263"/>
      <c r="Q796" s="263"/>
      <c r="R796" s="263"/>
      <c r="S796" s="263"/>
      <c r="T796" s="263"/>
      <c r="U796" s="263"/>
    </row>
    <row r="800" spans="2:23" x14ac:dyDescent="0.25">
      <c r="W800" s="263"/>
    </row>
    <row r="801" spans="2:23" x14ac:dyDescent="0.25">
      <c r="B801" s="264"/>
      <c r="G801" s="263"/>
      <c r="H801" s="263"/>
      <c r="I801" s="263"/>
      <c r="J801" s="263"/>
      <c r="K801" s="263"/>
      <c r="L801" s="263"/>
      <c r="M801" s="263"/>
      <c r="N801" s="263"/>
      <c r="O801" s="263"/>
      <c r="P801" s="263"/>
      <c r="Q801" s="263"/>
      <c r="R801" s="263"/>
      <c r="S801" s="263"/>
      <c r="T801" s="263"/>
      <c r="U801" s="263"/>
      <c r="W801" s="263"/>
    </row>
    <row r="802" spans="2:23" x14ac:dyDescent="0.25">
      <c r="B802" s="264"/>
      <c r="G802" s="263"/>
      <c r="H802" s="263"/>
      <c r="I802" s="263"/>
      <c r="J802" s="263"/>
      <c r="K802" s="263"/>
      <c r="L802" s="263"/>
      <c r="M802" s="263"/>
      <c r="N802" s="263"/>
      <c r="O802" s="263"/>
      <c r="P802" s="263"/>
      <c r="Q802" s="263"/>
      <c r="R802" s="263"/>
      <c r="S802" s="263"/>
      <c r="T802" s="263"/>
      <c r="U802" s="263"/>
      <c r="W802" s="263"/>
    </row>
    <row r="803" spans="2:23" x14ac:dyDescent="0.25">
      <c r="B803" s="264"/>
      <c r="G803" s="263"/>
      <c r="H803" s="263"/>
      <c r="I803" s="263"/>
      <c r="J803" s="263"/>
      <c r="K803" s="263"/>
      <c r="L803" s="263"/>
      <c r="M803" s="263"/>
      <c r="N803" s="263"/>
      <c r="O803" s="263"/>
      <c r="P803" s="263"/>
      <c r="Q803" s="263"/>
      <c r="R803" s="263"/>
      <c r="S803" s="263"/>
      <c r="T803" s="263"/>
      <c r="U803" s="263"/>
      <c r="W803" s="263"/>
    </row>
    <row r="804" spans="2:23" x14ac:dyDescent="0.25">
      <c r="B804" s="264"/>
      <c r="G804" s="263"/>
      <c r="H804" s="263"/>
      <c r="I804" s="263"/>
      <c r="J804" s="263"/>
      <c r="K804" s="263"/>
      <c r="L804" s="263"/>
      <c r="M804" s="263"/>
      <c r="N804" s="263"/>
      <c r="O804" s="263"/>
      <c r="P804" s="263"/>
      <c r="Q804" s="263"/>
      <c r="R804" s="263"/>
      <c r="S804" s="263"/>
      <c r="T804" s="263"/>
      <c r="U804" s="263"/>
    </row>
    <row r="806" spans="2:23" x14ac:dyDescent="0.25">
      <c r="W806" s="263"/>
    </row>
    <row r="807" spans="2:23" x14ac:dyDescent="0.25">
      <c r="B807" s="264"/>
      <c r="G807" s="263"/>
      <c r="H807" s="263"/>
      <c r="I807" s="263"/>
      <c r="J807" s="263"/>
      <c r="K807" s="263"/>
      <c r="L807" s="263"/>
      <c r="M807" s="263"/>
      <c r="N807" s="263"/>
      <c r="O807" s="263"/>
      <c r="P807" s="263"/>
      <c r="Q807" s="263"/>
      <c r="R807" s="263"/>
      <c r="S807" s="263"/>
      <c r="T807" s="263"/>
      <c r="U807" s="263"/>
    </row>
    <row r="811" spans="2:23" x14ac:dyDescent="0.25">
      <c r="W811" s="263"/>
    </row>
    <row r="812" spans="2:23" x14ac:dyDescent="0.25">
      <c r="B812" s="264"/>
      <c r="G812" s="263"/>
      <c r="H812" s="263"/>
      <c r="I812" s="263"/>
      <c r="J812" s="263"/>
      <c r="K812" s="263"/>
      <c r="L812" s="263"/>
      <c r="M812" s="263"/>
      <c r="N812" s="263"/>
      <c r="O812" s="263"/>
      <c r="P812" s="263"/>
      <c r="Q812" s="263"/>
      <c r="R812" s="263"/>
      <c r="S812" s="263"/>
      <c r="T812" s="263"/>
      <c r="U812" s="263"/>
      <c r="W812" s="263"/>
    </row>
    <row r="813" spans="2:23" x14ac:dyDescent="0.25">
      <c r="B813" s="264"/>
      <c r="G813" s="263"/>
      <c r="H813" s="263"/>
      <c r="I813" s="263"/>
      <c r="J813" s="263"/>
      <c r="K813" s="263"/>
      <c r="L813" s="263"/>
      <c r="M813" s="263"/>
      <c r="N813" s="263"/>
      <c r="O813" s="263"/>
      <c r="P813" s="263"/>
      <c r="Q813" s="263"/>
      <c r="R813" s="263"/>
      <c r="S813" s="263"/>
      <c r="T813" s="263"/>
      <c r="U813" s="263"/>
      <c r="W813" s="263"/>
    </row>
    <row r="814" spans="2:23" x14ac:dyDescent="0.25">
      <c r="B814" s="264"/>
      <c r="G814" s="263"/>
      <c r="H814" s="263"/>
      <c r="I814" s="263"/>
      <c r="J814" s="263"/>
      <c r="K814" s="263"/>
      <c r="L814" s="263"/>
      <c r="M814" s="263"/>
      <c r="N814" s="263"/>
      <c r="O814" s="263"/>
      <c r="P814" s="263"/>
      <c r="Q814" s="263"/>
      <c r="R814" s="263"/>
      <c r="S814" s="263"/>
      <c r="T814" s="263"/>
      <c r="U814" s="263"/>
    </row>
    <row r="816" spans="2:23" x14ac:dyDescent="0.25">
      <c r="W816" s="263"/>
    </row>
    <row r="817" spans="2:23" x14ac:dyDescent="0.25">
      <c r="B817" s="264"/>
      <c r="G817" s="263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263"/>
      <c r="S817" s="263"/>
      <c r="T817" s="263"/>
      <c r="U817" s="263"/>
    </row>
    <row r="823" spans="2:23" x14ac:dyDescent="0.25">
      <c r="W823" s="263"/>
    </row>
    <row r="824" spans="2:23" x14ac:dyDescent="0.25">
      <c r="G824" s="263"/>
      <c r="H824" s="263"/>
      <c r="I824" s="263"/>
      <c r="J824" s="263"/>
      <c r="K824" s="263"/>
      <c r="L824" s="263"/>
      <c r="M824" s="263"/>
      <c r="N824" s="263"/>
      <c r="O824" s="263"/>
      <c r="P824" s="263"/>
      <c r="Q824" s="263"/>
      <c r="R824" s="263"/>
      <c r="S824" s="263"/>
      <c r="T824" s="263"/>
      <c r="U824" s="263"/>
      <c r="W824" s="263"/>
    </row>
    <row r="825" spans="2:23" x14ac:dyDescent="0.25">
      <c r="G825" s="263"/>
      <c r="H825" s="263"/>
      <c r="I825" s="263"/>
      <c r="J825" s="263"/>
      <c r="K825" s="263"/>
      <c r="L825" s="263"/>
      <c r="M825" s="263"/>
      <c r="N825" s="263"/>
      <c r="O825" s="263"/>
      <c r="P825" s="263"/>
      <c r="Q825" s="263"/>
      <c r="R825" s="263"/>
      <c r="S825" s="263"/>
      <c r="T825" s="263"/>
      <c r="U825" s="263"/>
    </row>
    <row r="827" spans="2:23" x14ac:dyDescent="0.25">
      <c r="W827" s="263"/>
    </row>
    <row r="828" spans="2:23" x14ac:dyDescent="0.25">
      <c r="G828" s="263"/>
      <c r="H828" s="263"/>
      <c r="I828" s="263"/>
      <c r="J828" s="263"/>
      <c r="K828" s="263"/>
      <c r="L828" s="263"/>
      <c r="M828" s="263"/>
      <c r="N828" s="263"/>
      <c r="O828" s="263"/>
      <c r="P828" s="263"/>
      <c r="Q828" s="263"/>
      <c r="R828" s="263"/>
      <c r="S828" s="263"/>
      <c r="T828" s="263"/>
      <c r="U828" s="263"/>
    </row>
    <row r="832" spans="2:23" x14ac:dyDescent="0.25">
      <c r="W832" s="263"/>
    </row>
    <row r="833" spans="7:23" x14ac:dyDescent="0.25">
      <c r="G833" s="263"/>
      <c r="H833" s="263"/>
      <c r="I833" s="263"/>
      <c r="J833" s="263"/>
      <c r="K833" s="263"/>
      <c r="L833" s="263"/>
      <c r="M833" s="263"/>
      <c r="N833" s="263"/>
      <c r="O833" s="263"/>
      <c r="P833" s="263"/>
      <c r="Q833" s="263"/>
      <c r="R833" s="263"/>
      <c r="S833" s="263"/>
      <c r="T833" s="263"/>
      <c r="U833" s="263"/>
      <c r="W833" s="263"/>
    </row>
    <row r="834" spans="7:23" x14ac:dyDescent="0.25">
      <c r="G834" s="263"/>
      <c r="H834" s="263"/>
      <c r="I834" s="263"/>
      <c r="J834" s="263"/>
      <c r="K834" s="263"/>
      <c r="L834" s="263"/>
      <c r="M834" s="263"/>
      <c r="N834" s="263"/>
      <c r="O834" s="263"/>
      <c r="P834" s="263"/>
      <c r="Q834" s="263"/>
      <c r="R834" s="263"/>
      <c r="S834" s="263"/>
      <c r="T834" s="263"/>
      <c r="U834" s="263"/>
    </row>
    <row r="836" spans="7:23" x14ac:dyDescent="0.25">
      <c r="W836" s="263"/>
    </row>
    <row r="837" spans="7:23" x14ac:dyDescent="0.25">
      <c r="G837" s="263"/>
      <c r="H837" s="263"/>
      <c r="I837" s="263"/>
      <c r="J837" s="263"/>
      <c r="K837" s="263"/>
      <c r="L837" s="263"/>
      <c r="M837" s="263"/>
      <c r="N837" s="263"/>
      <c r="O837" s="263"/>
      <c r="P837" s="263"/>
      <c r="Q837" s="263"/>
      <c r="R837" s="263"/>
      <c r="S837" s="263"/>
      <c r="T837" s="263"/>
      <c r="U837" s="263"/>
    </row>
    <row r="841" spans="7:23" x14ac:dyDescent="0.25">
      <c r="W841" s="263"/>
    </row>
    <row r="842" spans="7:23" x14ac:dyDescent="0.25">
      <c r="G842" s="263"/>
      <c r="H842" s="263"/>
      <c r="I842" s="263"/>
      <c r="J842" s="263"/>
      <c r="K842" s="263"/>
      <c r="L842" s="263"/>
      <c r="M842" s="263"/>
      <c r="N842" s="263"/>
      <c r="O842" s="263"/>
      <c r="P842" s="263"/>
      <c r="Q842" s="263"/>
      <c r="R842" s="263"/>
      <c r="S842" s="263"/>
      <c r="T842" s="263"/>
      <c r="U842" s="263"/>
      <c r="W842" s="263"/>
    </row>
    <row r="843" spans="7:23" x14ac:dyDescent="0.25">
      <c r="G843" s="263"/>
      <c r="H843" s="263"/>
      <c r="I843" s="263"/>
      <c r="J843" s="263"/>
      <c r="K843" s="263"/>
      <c r="L843" s="263"/>
      <c r="M843" s="263"/>
      <c r="N843" s="263"/>
      <c r="O843" s="263"/>
      <c r="P843" s="263"/>
      <c r="Q843" s="263"/>
      <c r="R843" s="263"/>
      <c r="S843" s="263"/>
      <c r="T843" s="263"/>
      <c r="U843" s="263"/>
    </row>
    <row r="845" spans="7:23" x14ac:dyDescent="0.25">
      <c r="W845" s="263"/>
    </row>
    <row r="846" spans="7:23" x14ac:dyDescent="0.25">
      <c r="G846" s="263"/>
      <c r="H846" s="263"/>
      <c r="I846" s="263"/>
      <c r="J846" s="263"/>
      <c r="K846" s="263"/>
      <c r="L846" s="263"/>
      <c r="M846" s="263"/>
      <c r="N846" s="263"/>
      <c r="O846" s="263"/>
      <c r="P846" s="263"/>
      <c r="Q846" s="263"/>
      <c r="R846" s="263"/>
      <c r="S846" s="263"/>
      <c r="T846" s="263"/>
      <c r="U846" s="263"/>
    </row>
    <row r="848" spans="7:23" x14ac:dyDescent="0.25">
      <c r="W848" s="263"/>
    </row>
    <row r="849" spans="2:23" x14ac:dyDescent="0.25">
      <c r="G849" s="263"/>
      <c r="H849" s="263"/>
      <c r="I849" s="263"/>
      <c r="J849" s="263"/>
      <c r="K849" s="263"/>
      <c r="L849" s="263"/>
      <c r="M849" s="263"/>
      <c r="N849" s="263"/>
      <c r="O849" s="263"/>
      <c r="P849" s="263"/>
      <c r="Q849" s="263"/>
      <c r="R849" s="263"/>
      <c r="S849" s="263"/>
      <c r="T849" s="263"/>
      <c r="U849" s="263"/>
      <c r="W849" s="263"/>
    </row>
    <row r="850" spans="2:23" x14ac:dyDescent="0.25">
      <c r="G850" s="263"/>
      <c r="H850" s="263"/>
      <c r="I850" s="263"/>
      <c r="J850" s="263"/>
      <c r="K850" s="263"/>
      <c r="L850" s="263"/>
      <c r="M850" s="263"/>
      <c r="N850" s="263"/>
      <c r="O850" s="263"/>
      <c r="P850" s="263"/>
      <c r="Q850" s="263"/>
      <c r="R850" s="263"/>
      <c r="S850" s="263"/>
      <c r="T850" s="263"/>
      <c r="U850" s="263"/>
      <c r="W850" s="263"/>
    </row>
    <row r="851" spans="2:23" x14ac:dyDescent="0.25">
      <c r="G851" s="263"/>
      <c r="H851" s="263"/>
      <c r="I851" s="263"/>
      <c r="J851" s="263"/>
      <c r="K851" s="263"/>
      <c r="L851" s="263"/>
      <c r="M851" s="263"/>
      <c r="N851" s="263"/>
      <c r="O851" s="263"/>
      <c r="P851" s="263"/>
      <c r="Q851" s="263"/>
      <c r="R851" s="263"/>
      <c r="S851" s="263"/>
      <c r="T851" s="263"/>
      <c r="U851" s="263"/>
      <c r="W851" s="263"/>
    </row>
    <row r="852" spans="2:23" x14ac:dyDescent="0.25">
      <c r="G852" s="263"/>
      <c r="H852" s="263"/>
      <c r="I852" s="263"/>
      <c r="J852" s="263"/>
      <c r="K852" s="263"/>
      <c r="L852" s="263"/>
      <c r="M852" s="263"/>
      <c r="N852" s="263"/>
      <c r="O852" s="263"/>
      <c r="P852" s="263"/>
      <c r="Q852" s="263"/>
      <c r="R852" s="263"/>
      <c r="S852" s="263"/>
      <c r="T852" s="263"/>
      <c r="U852" s="263"/>
      <c r="W852" s="263"/>
    </row>
    <row r="853" spans="2:23" x14ac:dyDescent="0.25">
      <c r="G853" s="263"/>
      <c r="H853" s="263"/>
      <c r="I853" s="263"/>
      <c r="J853" s="263"/>
      <c r="K853" s="263"/>
      <c r="L853" s="263"/>
      <c r="M853" s="263"/>
      <c r="N853" s="263"/>
      <c r="O853" s="263"/>
      <c r="P853" s="263"/>
      <c r="Q853" s="263"/>
      <c r="R853" s="263"/>
      <c r="S853" s="263"/>
      <c r="T853" s="263"/>
      <c r="U853" s="263"/>
    </row>
    <row r="855" spans="2:23" x14ac:dyDescent="0.25">
      <c r="W855" s="263"/>
    </row>
    <row r="856" spans="2:23" x14ac:dyDescent="0.25">
      <c r="B856" s="264"/>
      <c r="G856" s="263"/>
      <c r="H856" s="263"/>
      <c r="I856" s="263"/>
      <c r="J856" s="263"/>
      <c r="K856" s="263"/>
      <c r="L856" s="263"/>
      <c r="M856" s="263"/>
      <c r="N856" s="263"/>
      <c r="O856" s="263"/>
      <c r="P856" s="263"/>
      <c r="Q856" s="263"/>
      <c r="R856" s="263"/>
      <c r="S856" s="263"/>
      <c r="T856" s="263"/>
      <c r="U856" s="263"/>
      <c r="W856" s="263"/>
    </row>
    <row r="857" spans="2:23" x14ac:dyDescent="0.25">
      <c r="B857" s="264"/>
      <c r="G857" s="263"/>
      <c r="H857" s="263"/>
      <c r="I857" s="263"/>
      <c r="J857" s="263"/>
      <c r="K857" s="263"/>
      <c r="L857" s="263"/>
      <c r="M857" s="263"/>
      <c r="N857" s="263"/>
      <c r="O857" s="263"/>
      <c r="P857" s="263"/>
      <c r="Q857" s="263"/>
      <c r="R857" s="263"/>
      <c r="S857" s="263"/>
      <c r="T857" s="263"/>
      <c r="U857" s="263"/>
      <c r="W857" s="263"/>
    </row>
    <row r="858" spans="2:23" x14ac:dyDescent="0.25">
      <c r="B858" s="264"/>
      <c r="G858" s="263"/>
      <c r="H858" s="263"/>
      <c r="I858" s="263"/>
      <c r="J858" s="263"/>
      <c r="K858" s="263"/>
      <c r="L858" s="263"/>
      <c r="M858" s="263"/>
      <c r="N858" s="263"/>
      <c r="O858" s="263"/>
      <c r="P858" s="263"/>
      <c r="Q858" s="263"/>
      <c r="R858" s="263"/>
      <c r="S858" s="263"/>
      <c r="T858" s="263"/>
      <c r="U858" s="263"/>
    </row>
    <row r="860" spans="2:23" x14ac:dyDescent="0.25">
      <c r="W860" s="263"/>
    </row>
    <row r="861" spans="2:23" x14ac:dyDescent="0.25">
      <c r="B861" s="264"/>
      <c r="G861" s="263"/>
      <c r="H861" s="263"/>
      <c r="I861" s="263"/>
      <c r="J861" s="263"/>
      <c r="K861" s="263"/>
      <c r="L861" s="263"/>
      <c r="M861" s="263"/>
      <c r="N861" s="263"/>
      <c r="O861" s="263"/>
      <c r="P861" s="263"/>
      <c r="Q861" s="263"/>
      <c r="R861" s="263"/>
      <c r="S861" s="263"/>
      <c r="T861" s="263"/>
      <c r="U861" s="263"/>
    </row>
    <row r="867" spans="7:23" x14ac:dyDescent="0.25">
      <c r="W867" s="263"/>
    </row>
    <row r="868" spans="7:23" x14ac:dyDescent="0.25">
      <c r="G868" s="263"/>
      <c r="H868" s="263"/>
      <c r="I868" s="263"/>
      <c r="J868" s="263"/>
      <c r="K868" s="263"/>
      <c r="L868" s="263"/>
      <c r="M868" s="263"/>
      <c r="N868" s="263"/>
      <c r="O868" s="263"/>
      <c r="P868" s="263"/>
      <c r="Q868" s="263"/>
      <c r="R868" s="263"/>
      <c r="S868" s="263"/>
      <c r="T868" s="263"/>
      <c r="U868" s="263"/>
      <c r="W868" s="263"/>
    </row>
    <row r="869" spans="7:23" x14ac:dyDescent="0.25">
      <c r="G869" s="263"/>
      <c r="H869" s="263"/>
      <c r="I869" s="263"/>
      <c r="J869" s="263"/>
      <c r="K869" s="263"/>
      <c r="L869" s="263"/>
      <c r="M869" s="263"/>
      <c r="N869" s="263"/>
      <c r="O869" s="263"/>
      <c r="P869" s="263"/>
      <c r="Q869" s="263"/>
      <c r="R869" s="263"/>
      <c r="S869" s="263"/>
      <c r="T869" s="263"/>
      <c r="U869" s="263"/>
      <c r="W869" s="263"/>
    </row>
    <row r="870" spans="7:23" x14ac:dyDescent="0.25">
      <c r="G870" s="263"/>
      <c r="H870" s="263"/>
      <c r="I870" s="263"/>
      <c r="J870" s="263"/>
      <c r="K870" s="263"/>
      <c r="L870" s="263"/>
      <c r="M870" s="263"/>
      <c r="N870" s="263"/>
      <c r="O870" s="263"/>
      <c r="P870" s="263"/>
      <c r="Q870" s="263"/>
      <c r="R870" s="263"/>
      <c r="S870" s="263"/>
      <c r="T870" s="263"/>
      <c r="U870" s="263"/>
    </row>
    <row r="872" spans="7:23" x14ac:dyDescent="0.25">
      <c r="W872" s="263"/>
    </row>
    <row r="873" spans="7:23" x14ac:dyDescent="0.25">
      <c r="G873" s="263"/>
      <c r="H873" s="263"/>
      <c r="I873" s="263"/>
      <c r="J873" s="263"/>
      <c r="K873" s="263"/>
      <c r="L873" s="263"/>
      <c r="M873" s="263"/>
      <c r="N873" s="263"/>
      <c r="O873" s="263"/>
      <c r="P873" s="263"/>
      <c r="Q873" s="263"/>
      <c r="R873" s="263"/>
      <c r="S873" s="263"/>
      <c r="T873" s="263"/>
      <c r="U873" s="263"/>
    </row>
    <row r="877" spans="7:23" x14ac:dyDescent="0.25">
      <c r="W877" s="263"/>
    </row>
    <row r="878" spans="7:23" x14ac:dyDescent="0.25">
      <c r="G878" s="263"/>
      <c r="H878" s="263"/>
      <c r="I878" s="263"/>
      <c r="J878" s="263"/>
      <c r="K878" s="263"/>
      <c r="L878" s="263"/>
      <c r="M878" s="263"/>
      <c r="N878" s="263"/>
      <c r="O878" s="263"/>
      <c r="P878" s="263"/>
      <c r="Q878" s="263"/>
      <c r="R878" s="263"/>
      <c r="S878" s="263"/>
      <c r="T878" s="263"/>
      <c r="U878" s="263"/>
    </row>
    <row r="880" spans="7:23" x14ac:dyDescent="0.25">
      <c r="W880" s="263"/>
    </row>
    <row r="881" spans="7:23" x14ac:dyDescent="0.25">
      <c r="G881" s="263"/>
      <c r="H881" s="263"/>
      <c r="I881" s="263"/>
      <c r="J881" s="263"/>
      <c r="K881" s="263"/>
      <c r="L881" s="263"/>
      <c r="M881" s="263"/>
      <c r="N881" s="263"/>
      <c r="O881" s="263"/>
      <c r="P881" s="263"/>
      <c r="Q881" s="263"/>
      <c r="R881" s="263"/>
      <c r="S881" s="263"/>
      <c r="T881" s="263"/>
      <c r="U881" s="263"/>
      <c r="W881" s="263"/>
    </row>
    <row r="882" spans="7:23" x14ac:dyDescent="0.25">
      <c r="G882" s="263"/>
      <c r="H882" s="263"/>
      <c r="I882" s="263"/>
      <c r="J882" s="263"/>
      <c r="K882" s="263"/>
      <c r="L882" s="263"/>
      <c r="M882" s="263"/>
      <c r="N882" s="263"/>
      <c r="O882" s="263"/>
      <c r="P882" s="263"/>
      <c r="Q882" s="263"/>
      <c r="R882" s="263"/>
      <c r="S882" s="263"/>
      <c r="T882" s="263"/>
      <c r="U882" s="263"/>
      <c r="W882" s="263"/>
    </row>
    <row r="883" spans="7:23" x14ac:dyDescent="0.25">
      <c r="G883" s="263"/>
      <c r="H883" s="263"/>
      <c r="I883" s="263"/>
      <c r="J883" s="263"/>
      <c r="K883" s="263"/>
      <c r="L883" s="263"/>
      <c r="M883" s="263"/>
      <c r="N883" s="263"/>
      <c r="O883" s="263"/>
      <c r="P883" s="263"/>
      <c r="Q883" s="263"/>
      <c r="R883" s="263"/>
      <c r="S883" s="263"/>
      <c r="T883" s="263"/>
      <c r="U883" s="263"/>
      <c r="W883" s="263"/>
    </row>
    <row r="884" spans="7:23" x14ac:dyDescent="0.25">
      <c r="G884" s="263"/>
      <c r="H884" s="263"/>
      <c r="I884" s="263"/>
      <c r="J884" s="263"/>
      <c r="K884" s="263"/>
      <c r="L884" s="263"/>
      <c r="M884" s="263"/>
      <c r="N884" s="263"/>
      <c r="O884" s="263"/>
      <c r="P884" s="263"/>
      <c r="Q884" s="263"/>
      <c r="R884" s="263"/>
      <c r="S884" s="263"/>
      <c r="T884" s="263"/>
      <c r="U884" s="263"/>
    </row>
    <row r="886" spans="7:23" x14ac:dyDescent="0.25">
      <c r="W886" s="263"/>
    </row>
    <row r="887" spans="7:23" x14ac:dyDescent="0.25">
      <c r="G887" s="263"/>
      <c r="H887" s="263"/>
      <c r="I887" s="263"/>
      <c r="J887" s="263"/>
      <c r="K887" s="263"/>
      <c r="L887" s="263"/>
      <c r="M887" s="263"/>
      <c r="N887" s="263"/>
      <c r="O887" s="263"/>
      <c r="P887" s="263"/>
      <c r="Q887" s="263"/>
      <c r="R887" s="263"/>
      <c r="S887" s="263"/>
      <c r="T887" s="263"/>
      <c r="U887" s="263"/>
      <c r="W887" s="263"/>
    </row>
    <row r="888" spans="7:23" x14ac:dyDescent="0.25">
      <c r="G888" s="263"/>
      <c r="H888" s="263"/>
      <c r="I888" s="263"/>
      <c r="J888" s="263"/>
      <c r="K888" s="263"/>
      <c r="L888" s="263"/>
      <c r="M888" s="263"/>
      <c r="N888" s="263"/>
      <c r="O888" s="263"/>
      <c r="P888" s="263"/>
      <c r="Q888" s="263"/>
      <c r="R888" s="263"/>
      <c r="S888" s="263"/>
      <c r="T888" s="263"/>
      <c r="U888" s="263"/>
      <c r="W888" s="263"/>
    </row>
    <row r="889" spans="7:23" x14ac:dyDescent="0.25">
      <c r="G889" s="263"/>
      <c r="H889" s="263"/>
      <c r="I889" s="263"/>
      <c r="J889" s="263"/>
      <c r="K889" s="263"/>
      <c r="L889" s="263"/>
      <c r="M889" s="263"/>
      <c r="N889" s="263"/>
      <c r="O889" s="263"/>
      <c r="P889" s="263"/>
      <c r="Q889" s="263"/>
      <c r="R889" s="263"/>
      <c r="S889" s="263"/>
      <c r="T889" s="263"/>
      <c r="U889" s="263"/>
      <c r="W889" s="263"/>
    </row>
    <row r="890" spans="7:23" x14ac:dyDescent="0.25">
      <c r="G890" s="263"/>
      <c r="H890" s="263"/>
      <c r="I890" s="263"/>
      <c r="J890" s="263"/>
      <c r="K890" s="263"/>
      <c r="L890" s="263"/>
      <c r="M890" s="263"/>
      <c r="N890" s="263"/>
      <c r="O890" s="263"/>
      <c r="P890" s="263"/>
      <c r="Q890" s="263"/>
      <c r="R890" s="263"/>
      <c r="S890" s="263"/>
      <c r="T890" s="263"/>
      <c r="U890" s="263"/>
      <c r="W890" s="263"/>
    </row>
    <row r="891" spans="7:23" x14ac:dyDescent="0.25">
      <c r="G891" s="263"/>
      <c r="H891" s="263"/>
      <c r="I891" s="263"/>
      <c r="J891" s="263"/>
      <c r="K891" s="263"/>
      <c r="L891" s="263"/>
      <c r="M891" s="263"/>
      <c r="N891" s="263"/>
      <c r="O891" s="263"/>
      <c r="P891" s="263"/>
      <c r="Q891" s="263"/>
      <c r="R891" s="263"/>
      <c r="S891" s="263"/>
      <c r="T891" s="263"/>
      <c r="U891" s="263"/>
    </row>
    <row r="893" spans="7:23" x14ac:dyDescent="0.25">
      <c r="W893" s="263"/>
    </row>
    <row r="894" spans="7:23" x14ac:dyDescent="0.25">
      <c r="G894" s="263"/>
      <c r="H894" s="263"/>
      <c r="I894" s="263"/>
      <c r="J894" s="263"/>
      <c r="K894" s="263"/>
      <c r="L894" s="263"/>
      <c r="M894" s="263"/>
      <c r="N894" s="263"/>
      <c r="O894" s="263"/>
      <c r="P894" s="263"/>
      <c r="Q894" s="263"/>
      <c r="R894" s="263"/>
      <c r="S894" s="263"/>
      <c r="T894" s="263"/>
      <c r="U894" s="263"/>
      <c r="W894" s="263"/>
    </row>
    <row r="895" spans="7:23" x14ac:dyDescent="0.25">
      <c r="G895" s="263"/>
      <c r="H895" s="263"/>
      <c r="I895" s="263"/>
      <c r="J895" s="263"/>
      <c r="K895" s="263"/>
      <c r="L895" s="263"/>
      <c r="M895" s="263"/>
      <c r="N895" s="263"/>
      <c r="O895" s="263"/>
      <c r="P895" s="263"/>
      <c r="Q895" s="263"/>
      <c r="R895" s="263"/>
      <c r="S895" s="263"/>
      <c r="T895" s="263"/>
      <c r="U895" s="263"/>
      <c r="W895" s="263"/>
    </row>
    <row r="896" spans="7:23" x14ac:dyDescent="0.25">
      <c r="G896" s="263"/>
      <c r="H896" s="263"/>
      <c r="I896" s="263"/>
      <c r="J896" s="263"/>
      <c r="K896" s="263"/>
      <c r="L896" s="263"/>
      <c r="M896" s="263"/>
      <c r="N896" s="263"/>
      <c r="O896" s="263"/>
      <c r="P896" s="263"/>
      <c r="Q896" s="263"/>
      <c r="R896" s="263"/>
      <c r="S896" s="263"/>
      <c r="T896" s="263"/>
      <c r="U896" s="263"/>
      <c r="W896" s="263"/>
    </row>
    <row r="897" spans="2:23" x14ac:dyDescent="0.25">
      <c r="G897" s="263"/>
      <c r="H897" s="263"/>
      <c r="I897" s="263"/>
      <c r="J897" s="263"/>
      <c r="K897" s="263"/>
      <c r="L897" s="263"/>
      <c r="M897" s="263"/>
      <c r="N897" s="263"/>
      <c r="O897" s="263"/>
      <c r="P897" s="263"/>
      <c r="Q897" s="263"/>
      <c r="R897" s="263"/>
      <c r="S897" s="263"/>
      <c r="T897" s="263"/>
      <c r="U897" s="263"/>
    </row>
    <row r="899" spans="2:23" x14ac:dyDescent="0.25">
      <c r="W899" s="263"/>
    </row>
    <row r="900" spans="2:23" x14ac:dyDescent="0.25">
      <c r="G900" s="263"/>
      <c r="H900" s="263"/>
      <c r="I900" s="263"/>
      <c r="J900" s="263"/>
      <c r="K900" s="263"/>
      <c r="L900" s="263"/>
      <c r="M900" s="263"/>
      <c r="N900" s="263"/>
      <c r="O900" s="263"/>
      <c r="P900" s="263"/>
      <c r="Q900" s="263"/>
      <c r="R900" s="263"/>
      <c r="S900" s="263"/>
      <c r="T900" s="263"/>
      <c r="U900" s="263"/>
      <c r="W900" s="263"/>
    </row>
    <row r="901" spans="2:23" x14ac:dyDescent="0.25">
      <c r="G901" s="263"/>
      <c r="H901" s="263"/>
      <c r="I901" s="263"/>
      <c r="J901" s="263"/>
      <c r="K901" s="263"/>
      <c r="L901" s="263"/>
      <c r="M901" s="263"/>
      <c r="N901" s="263"/>
      <c r="O901" s="263"/>
      <c r="P901" s="263"/>
      <c r="Q901" s="263"/>
      <c r="R901" s="263"/>
      <c r="S901" s="263"/>
      <c r="T901" s="263"/>
      <c r="U901" s="263"/>
      <c r="W901" s="263"/>
    </row>
    <row r="902" spans="2:23" x14ac:dyDescent="0.25">
      <c r="G902" s="263"/>
      <c r="H902" s="263"/>
      <c r="I902" s="263"/>
      <c r="J902" s="263"/>
      <c r="K902" s="263"/>
      <c r="L902" s="263"/>
      <c r="M902" s="263"/>
      <c r="N902" s="263"/>
      <c r="O902" s="263"/>
      <c r="P902" s="263"/>
      <c r="Q902" s="263"/>
      <c r="R902" s="263"/>
      <c r="S902" s="263"/>
      <c r="T902" s="263"/>
      <c r="U902" s="263"/>
      <c r="W902" s="263"/>
    </row>
    <row r="903" spans="2:23" x14ac:dyDescent="0.25">
      <c r="G903" s="263"/>
      <c r="H903" s="263"/>
      <c r="I903" s="263"/>
      <c r="J903" s="263"/>
      <c r="K903" s="263"/>
      <c r="L903" s="263"/>
      <c r="M903" s="263"/>
      <c r="N903" s="263"/>
      <c r="O903" s="263"/>
      <c r="P903" s="263"/>
      <c r="Q903" s="263"/>
      <c r="R903" s="263"/>
      <c r="S903" s="263"/>
      <c r="T903" s="263"/>
      <c r="U903" s="263"/>
      <c r="W903" s="263"/>
    </row>
    <row r="904" spans="2:23" x14ac:dyDescent="0.25">
      <c r="G904" s="263"/>
      <c r="H904" s="263"/>
      <c r="I904" s="263"/>
      <c r="J904" s="263"/>
      <c r="K904" s="263"/>
      <c r="L904" s="263"/>
      <c r="M904" s="263"/>
      <c r="N904" s="263"/>
      <c r="O904" s="263"/>
      <c r="P904" s="263"/>
      <c r="Q904" s="263"/>
      <c r="R904" s="263"/>
      <c r="S904" s="263"/>
      <c r="T904" s="263"/>
      <c r="U904" s="263"/>
    </row>
    <row r="908" spans="2:23" x14ac:dyDescent="0.25">
      <c r="W908" s="263"/>
    </row>
    <row r="909" spans="2:23" x14ac:dyDescent="0.25">
      <c r="B909" s="264"/>
      <c r="G909" s="263"/>
      <c r="H909" s="263"/>
      <c r="I909" s="263"/>
      <c r="J909" s="263"/>
      <c r="K909" s="263"/>
      <c r="L909" s="263"/>
      <c r="M909" s="263"/>
      <c r="N909" s="263"/>
      <c r="O909" s="263"/>
      <c r="P909" s="263"/>
      <c r="Q909" s="263"/>
      <c r="R909" s="263"/>
      <c r="S909" s="263"/>
      <c r="T909" s="263"/>
      <c r="U909" s="263"/>
      <c r="W909" s="263"/>
    </row>
    <row r="910" spans="2:23" x14ac:dyDescent="0.25">
      <c r="B910" s="264"/>
      <c r="G910" s="263"/>
      <c r="H910" s="263"/>
      <c r="I910" s="263"/>
      <c r="J910" s="263"/>
      <c r="K910" s="263"/>
      <c r="L910" s="263"/>
      <c r="M910" s="263"/>
      <c r="N910" s="263"/>
      <c r="O910" s="263"/>
      <c r="P910" s="263"/>
      <c r="Q910" s="263"/>
      <c r="R910" s="263"/>
      <c r="S910" s="263"/>
      <c r="T910" s="263"/>
      <c r="U910" s="263"/>
      <c r="W910" s="263"/>
    </row>
    <row r="911" spans="2:23" x14ac:dyDescent="0.25">
      <c r="B911" s="264"/>
      <c r="G911" s="263"/>
      <c r="H911" s="263"/>
      <c r="I911" s="263"/>
      <c r="J911" s="263"/>
      <c r="K911" s="263"/>
      <c r="L911" s="263"/>
      <c r="M911" s="263"/>
      <c r="N911" s="263"/>
      <c r="O911" s="263"/>
      <c r="P911" s="263"/>
      <c r="Q911" s="263"/>
      <c r="R911" s="263"/>
      <c r="S911" s="263"/>
      <c r="T911" s="263"/>
      <c r="U911" s="263"/>
      <c r="W911" s="263"/>
    </row>
    <row r="912" spans="2:23" x14ac:dyDescent="0.25">
      <c r="B912" s="264"/>
      <c r="G912" s="263"/>
      <c r="H912" s="263"/>
      <c r="I912" s="263"/>
      <c r="J912" s="263"/>
      <c r="K912" s="263"/>
      <c r="L912" s="263"/>
      <c r="M912" s="263"/>
      <c r="N912" s="263"/>
      <c r="O912" s="263"/>
      <c r="P912" s="263"/>
      <c r="Q912" s="263"/>
      <c r="R912" s="263"/>
      <c r="S912" s="263"/>
      <c r="T912" s="263"/>
      <c r="U912" s="263"/>
      <c r="W912" s="263"/>
    </row>
    <row r="913" spans="2:23" x14ac:dyDescent="0.25">
      <c r="B913" s="264"/>
      <c r="G913" s="263"/>
      <c r="H913" s="263"/>
      <c r="I913" s="263"/>
      <c r="J913" s="263"/>
      <c r="K913" s="263"/>
      <c r="L913" s="263"/>
      <c r="M913" s="263"/>
      <c r="N913" s="263"/>
      <c r="O913" s="263"/>
      <c r="P913" s="263"/>
      <c r="Q913" s="263"/>
      <c r="R913" s="263"/>
      <c r="S913" s="263"/>
      <c r="T913" s="263"/>
      <c r="U913" s="263"/>
    </row>
    <row r="917" spans="2:23" x14ac:dyDescent="0.25">
      <c r="W917" s="263"/>
    </row>
    <row r="918" spans="2:23" x14ac:dyDescent="0.25">
      <c r="B918" s="264"/>
      <c r="G918" s="263"/>
      <c r="H918" s="263"/>
      <c r="I918" s="263"/>
      <c r="J918" s="263"/>
      <c r="K918" s="263"/>
      <c r="L918" s="263"/>
      <c r="M918" s="263"/>
      <c r="N918" s="263"/>
      <c r="O918" s="263"/>
      <c r="P918" s="263"/>
      <c r="Q918" s="263"/>
      <c r="R918" s="263"/>
      <c r="S918" s="263"/>
      <c r="T918" s="263"/>
      <c r="U918" s="263"/>
      <c r="W918" s="263"/>
    </row>
    <row r="919" spans="2:23" x14ac:dyDescent="0.25">
      <c r="B919" s="264"/>
      <c r="G919" s="263"/>
      <c r="H919" s="263"/>
      <c r="I919" s="263"/>
      <c r="J919" s="263"/>
      <c r="K919" s="263"/>
      <c r="L919" s="263"/>
      <c r="M919" s="263"/>
      <c r="N919" s="263"/>
      <c r="O919" s="263"/>
      <c r="P919" s="263"/>
      <c r="Q919" s="263"/>
      <c r="R919" s="263"/>
      <c r="S919" s="263"/>
      <c r="T919" s="263"/>
      <c r="U919" s="263"/>
      <c r="W919" s="263"/>
    </row>
    <row r="920" spans="2:23" x14ac:dyDescent="0.25">
      <c r="B920" s="264"/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/>
      <c r="S920" s="263"/>
      <c r="T920" s="263"/>
      <c r="U920" s="263"/>
      <c r="W920" s="263"/>
    </row>
    <row r="921" spans="2:23" x14ac:dyDescent="0.25">
      <c r="B921" s="264"/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/>
      <c r="S921" s="263"/>
      <c r="T921" s="263"/>
      <c r="U921" s="263"/>
    </row>
    <row r="925" spans="2:23" x14ac:dyDescent="0.25">
      <c r="W925" s="263"/>
    </row>
    <row r="926" spans="2:23" x14ac:dyDescent="0.25">
      <c r="B926" s="264"/>
      <c r="G926" s="263"/>
      <c r="H926" s="263"/>
      <c r="I926" s="263"/>
      <c r="J926" s="263"/>
      <c r="K926" s="263"/>
      <c r="L926" s="263"/>
      <c r="M926" s="263"/>
      <c r="N926" s="263"/>
      <c r="O926" s="263"/>
      <c r="P926" s="263"/>
      <c r="Q926" s="263"/>
      <c r="R926" s="263"/>
      <c r="S926" s="263"/>
      <c r="T926" s="263"/>
      <c r="U926" s="263"/>
      <c r="W926" s="263"/>
    </row>
    <row r="927" spans="2:23" x14ac:dyDescent="0.25">
      <c r="B927" s="264"/>
      <c r="G927" s="263"/>
      <c r="H927" s="263"/>
      <c r="I927" s="263"/>
      <c r="J927" s="263"/>
      <c r="K927" s="263"/>
      <c r="L927" s="263"/>
      <c r="M927" s="263"/>
      <c r="N927" s="263"/>
      <c r="O927" s="263"/>
      <c r="P927" s="263"/>
      <c r="Q927" s="263"/>
      <c r="R927" s="263"/>
      <c r="S927" s="263"/>
      <c r="T927" s="263"/>
      <c r="U927" s="263"/>
      <c r="W927" s="263"/>
    </row>
    <row r="928" spans="2:23" x14ac:dyDescent="0.25">
      <c r="B928" s="264"/>
      <c r="G928" s="263"/>
      <c r="H928" s="263"/>
      <c r="I928" s="263"/>
      <c r="J928" s="263"/>
      <c r="K928" s="263"/>
      <c r="L928" s="263"/>
      <c r="M928" s="263"/>
      <c r="N928" s="263"/>
      <c r="O928" s="263"/>
      <c r="P928" s="263"/>
      <c r="Q928" s="263"/>
      <c r="R928" s="263"/>
      <c r="S928" s="263"/>
      <c r="T928" s="263"/>
      <c r="U928" s="263"/>
      <c r="W928" s="263"/>
    </row>
    <row r="929" spans="2:23" x14ac:dyDescent="0.25">
      <c r="B929" s="264"/>
      <c r="G929" s="263"/>
      <c r="H929" s="263"/>
      <c r="I929" s="263"/>
      <c r="J929" s="263"/>
      <c r="K929" s="263"/>
      <c r="L929" s="263"/>
      <c r="M929" s="263"/>
      <c r="N929" s="263"/>
      <c r="O929" s="263"/>
      <c r="P929" s="263"/>
      <c r="Q929" s="263"/>
      <c r="R929" s="263"/>
      <c r="S929" s="263"/>
      <c r="T929" s="263"/>
      <c r="U929" s="263"/>
    </row>
    <row r="933" spans="2:23" x14ac:dyDescent="0.25">
      <c r="W933" s="263"/>
    </row>
    <row r="934" spans="2:23" x14ac:dyDescent="0.25">
      <c r="B934" s="264"/>
      <c r="G934" s="263"/>
      <c r="H934" s="263"/>
      <c r="I934" s="263"/>
      <c r="J934" s="263"/>
      <c r="K934" s="263"/>
      <c r="L934" s="263"/>
      <c r="M934" s="263"/>
      <c r="N934" s="263"/>
      <c r="O934" s="263"/>
      <c r="P934" s="263"/>
      <c r="Q934" s="263"/>
      <c r="R934" s="263"/>
      <c r="S934" s="263"/>
      <c r="T934" s="263"/>
      <c r="U934" s="263"/>
      <c r="W934" s="263"/>
    </row>
    <row r="935" spans="2:23" x14ac:dyDescent="0.25">
      <c r="B935" s="264"/>
      <c r="G935" s="263"/>
      <c r="H935" s="263"/>
      <c r="I935" s="263"/>
      <c r="J935" s="263"/>
      <c r="K935" s="263"/>
      <c r="L935" s="263"/>
      <c r="M935" s="263"/>
      <c r="N935" s="263"/>
      <c r="O935" s="263"/>
      <c r="P935" s="263"/>
      <c r="Q935" s="263"/>
      <c r="R935" s="263"/>
      <c r="S935" s="263"/>
      <c r="T935" s="263"/>
      <c r="U935" s="263"/>
      <c r="W935" s="263"/>
    </row>
    <row r="936" spans="2:23" x14ac:dyDescent="0.25">
      <c r="B936" s="264"/>
      <c r="G936" s="263"/>
      <c r="H936" s="263"/>
      <c r="I936" s="263"/>
      <c r="J936" s="263"/>
      <c r="K936" s="263"/>
      <c r="L936" s="263"/>
      <c r="M936" s="263"/>
      <c r="N936" s="263"/>
      <c r="O936" s="263"/>
      <c r="P936" s="263"/>
      <c r="Q936" s="263"/>
      <c r="R936" s="263"/>
      <c r="S936" s="263"/>
      <c r="T936" s="263"/>
      <c r="U936" s="263"/>
      <c r="W936" s="263"/>
    </row>
    <row r="937" spans="2:23" x14ac:dyDescent="0.25">
      <c r="B937" s="264"/>
      <c r="G937" s="263"/>
      <c r="H937" s="263"/>
      <c r="I937" s="263"/>
      <c r="J937" s="263"/>
      <c r="K937" s="263"/>
      <c r="L937" s="263"/>
      <c r="M937" s="263"/>
      <c r="N937" s="263"/>
      <c r="O937" s="263"/>
      <c r="P937" s="263"/>
      <c r="Q937" s="263"/>
      <c r="R937" s="263"/>
      <c r="S937" s="263"/>
      <c r="T937" s="263"/>
      <c r="U937" s="263"/>
    </row>
    <row r="941" spans="2:23" x14ac:dyDescent="0.25">
      <c r="W941" s="263"/>
    </row>
    <row r="942" spans="2:23" x14ac:dyDescent="0.25">
      <c r="B942" s="264"/>
      <c r="G942" s="263"/>
      <c r="H942" s="263"/>
      <c r="I942" s="263"/>
      <c r="J942" s="263"/>
      <c r="K942" s="263"/>
      <c r="L942" s="263"/>
      <c r="M942" s="263"/>
      <c r="N942" s="263"/>
      <c r="O942" s="263"/>
      <c r="P942" s="263"/>
      <c r="Q942" s="263"/>
      <c r="R942" s="263"/>
      <c r="S942" s="263"/>
      <c r="T942" s="263"/>
      <c r="U942" s="263"/>
      <c r="W942" s="263"/>
    </row>
    <row r="943" spans="2:23" x14ac:dyDescent="0.25">
      <c r="B943" s="264"/>
      <c r="G943" s="263"/>
      <c r="H943" s="263"/>
      <c r="I943" s="263"/>
      <c r="J943" s="263"/>
      <c r="K943" s="263"/>
      <c r="L943" s="263"/>
      <c r="M943" s="263"/>
      <c r="N943" s="263"/>
      <c r="O943" s="263"/>
      <c r="P943" s="263"/>
      <c r="Q943" s="263"/>
      <c r="R943" s="263"/>
      <c r="S943" s="263"/>
      <c r="T943" s="263"/>
      <c r="U943" s="263"/>
      <c r="W943" s="263"/>
    </row>
    <row r="944" spans="2:23" x14ac:dyDescent="0.25">
      <c r="B944" s="264"/>
      <c r="G944" s="263"/>
      <c r="H944" s="263"/>
      <c r="I944" s="263"/>
      <c r="J944" s="263"/>
      <c r="K944" s="263"/>
      <c r="L944" s="263"/>
      <c r="M944" s="263"/>
      <c r="N944" s="263"/>
      <c r="O944" s="263"/>
      <c r="P944" s="263"/>
      <c r="Q944" s="263"/>
      <c r="R944" s="263"/>
      <c r="S944" s="263"/>
      <c r="T944" s="263"/>
      <c r="U944" s="263"/>
      <c r="W944" s="263"/>
    </row>
    <row r="945" spans="2:23" x14ac:dyDescent="0.25">
      <c r="B945" s="264"/>
      <c r="G945" s="263"/>
      <c r="H945" s="263"/>
      <c r="I945" s="263"/>
      <c r="J945" s="263"/>
      <c r="K945" s="263"/>
      <c r="L945" s="263"/>
      <c r="M945" s="263"/>
      <c r="N945" s="263"/>
      <c r="O945" s="263"/>
      <c r="P945" s="263"/>
      <c r="Q945" s="263"/>
      <c r="R945" s="263"/>
      <c r="S945" s="263"/>
      <c r="T945" s="263"/>
      <c r="U945" s="263"/>
    </row>
    <row r="949" spans="2:23" x14ac:dyDescent="0.25">
      <c r="W949" s="263"/>
    </row>
    <row r="950" spans="2:23" x14ac:dyDescent="0.25">
      <c r="B950" s="264"/>
      <c r="G950" s="263"/>
      <c r="H950" s="263"/>
      <c r="I950" s="263"/>
      <c r="J950" s="263"/>
      <c r="K950" s="263"/>
      <c r="L950" s="263"/>
      <c r="M950" s="263"/>
      <c r="N950" s="263"/>
      <c r="O950" s="263"/>
      <c r="P950" s="263"/>
      <c r="Q950" s="263"/>
      <c r="R950" s="263"/>
      <c r="S950" s="263"/>
      <c r="T950" s="263"/>
      <c r="U950" s="263"/>
      <c r="W950" s="263"/>
    </row>
    <row r="951" spans="2:23" x14ac:dyDescent="0.25">
      <c r="B951" s="264"/>
      <c r="G951" s="263"/>
      <c r="H951" s="263"/>
      <c r="I951" s="263"/>
      <c r="J951" s="263"/>
      <c r="K951" s="263"/>
      <c r="L951" s="263"/>
      <c r="M951" s="263"/>
      <c r="N951" s="263"/>
      <c r="O951" s="263"/>
      <c r="P951" s="263"/>
      <c r="Q951" s="263"/>
      <c r="R951" s="263"/>
      <c r="S951" s="263"/>
      <c r="T951" s="263"/>
      <c r="U951" s="263"/>
      <c r="W951" s="263"/>
    </row>
    <row r="952" spans="2:23" x14ac:dyDescent="0.25">
      <c r="B952" s="264"/>
      <c r="G952" s="263"/>
      <c r="H952" s="263"/>
      <c r="I952" s="263"/>
      <c r="J952" s="263"/>
      <c r="K952" s="263"/>
      <c r="L952" s="263"/>
      <c r="M952" s="263"/>
      <c r="N952" s="263"/>
      <c r="O952" s="263"/>
      <c r="P952" s="263"/>
      <c r="Q952" s="263"/>
      <c r="R952" s="263"/>
      <c r="S952" s="263"/>
      <c r="T952" s="263"/>
      <c r="U952" s="263"/>
      <c r="W952" s="263"/>
    </row>
    <row r="953" spans="2:23" x14ac:dyDescent="0.25">
      <c r="B953" s="264"/>
      <c r="G953" s="263"/>
      <c r="H953" s="263"/>
      <c r="I953" s="263"/>
      <c r="J953" s="263"/>
      <c r="K953" s="263"/>
      <c r="L953" s="263"/>
      <c r="M953" s="263"/>
      <c r="N953" s="263"/>
      <c r="O953" s="263"/>
      <c r="P953" s="263"/>
      <c r="Q953" s="263"/>
      <c r="R953" s="263"/>
      <c r="S953" s="263"/>
      <c r="T953" s="263"/>
      <c r="U953" s="263"/>
    </row>
    <row r="957" spans="2:23" x14ac:dyDescent="0.25">
      <c r="W957" s="263"/>
    </row>
    <row r="958" spans="2:23" x14ac:dyDescent="0.25">
      <c r="G958" s="263"/>
      <c r="H958" s="263"/>
      <c r="I958" s="263"/>
      <c r="J958" s="263"/>
      <c r="K958" s="263"/>
      <c r="L958" s="263"/>
      <c r="M958" s="263"/>
      <c r="N958" s="263"/>
      <c r="O958" s="263"/>
      <c r="P958" s="263"/>
      <c r="Q958" s="263"/>
      <c r="R958" s="263"/>
      <c r="S958" s="263"/>
      <c r="T958" s="263"/>
      <c r="U958" s="263"/>
      <c r="W958" s="263"/>
    </row>
    <row r="959" spans="2:23" x14ac:dyDescent="0.25">
      <c r="G959" s="263"/>
      <c r="H959" s="263"/>
      <c r="I959" s="263"/>
      <c r="J959" s="263"/>
      <c r="K959" s="263"/>
      <c r="L959" s="263"/>
      <c r="M959" s="263"/>
      <c r="N959" s="263"/>
      <c r="O959" s="263"/>
      <c r="P959" s="263"/>
      <c r="Q959" s="263"/>
      <c r="R959" s="263"/>
      <c r="S959" s="263"/>
      <c r="T959" s="263"/>
      <c r="U959" s="263"/>
      <c r="W959" s="263"/>
    </row>
    <row r="960" spans="2:23" x14ac:dyDescent="0.25">
      <c r="G960" s="263"/>
      <c r="H960" s="263"/>
      <c r="I960" s="263"/>
      <c r="J960" s="263"/>
      <c r="K960" s="263"/>
      <c r="L960" s="263"/>
      <c r="M960" s="263"/>
      <c r="N960" s="263"/>
      <c r="O960" s="263"/>
      <c r="P960" s="263"/>
      <c r="Q960" s="263"/>
      <c r="R960" s="263"/>
      <c r="S960" s="263"/>
      <c r="T960" s="263"/>
      <c r="U960" s="263"/>
      <c r="W960" s="263"/>
    </row>
    <row r="961" spans="7:23" x14ac:dyDescent="0.25">
      <c r="G961" s="263"/>
      <c r="H961" s="263"/>
      <c r="I961" s="263"/>
      <c r="J961" s="263"/>
      <c r="K961" s="263"/>
      <c r="L961" s="263"/>
      <c r="M961" s="263"/>
      <c r="N961" s="263"/>
      <c r="O961" s="263"/>
      <c r="P961" s="263"/>
      <c r="Q961" s="263"/>
      <c r="R961" s="263"/>
      <c r="S961" s="263"/>
      <c r="T961" s="263"/>
      <c r="U961" s="263"/>
    </row>
    <row r="965" spans="7:23" x14ac:dyDescent="0.25">
      <c r="W965" s="263"/>
    </row>
    <row r="966" spans="7:23" x14ac:dyDescent="0.25">
      <c r="G966" s="263"/>
      <c r="H966" s="263"/>
      <c r="I966" s="263"/>
      <c r="J966" s="263"/>
      <c r="K966" s="263"/>
      <c r="L966" s="263"/>
      <c r="M966" s="263"/>
      <c r="N966" s="263"/>
      <c r="O966" s="263"/>
      <c r="P966" s="263"/>
      <c r="Q966" s="263"/>
      <c r="R966" s="263"/>
      <c r="S966" s="263"/>
      <c r="T966" s="263"/>
      <c r="U966" s="263"/>
      <c r="W966" s="263"/>
    </row>
    <row r="967" spans="7:23" x14ac:dyDescent="0.25">
      <c r="G967" s="263"/>
      <c r="H967" s="263"/>
      <c r="I967" s="263"/>
      <c r="J967" s="263"/>
      <c r="K967" s="263"/>
      <c r="L967" s="263"/>
      <c r="M967" s="263"/>
      <c r="N967" s="263"/>
      <c r="O967" s="263"/>
      <c r="P967" s="263"/>
      <c r="Q967" s="263"/>
      <c r="R967" s="263"/>
      <c r="S967" s="263"/>
      <c r="T967" s="263"/>
      <c r="U967" s="263"/>
      <c r="W967" s="263"/>
    </row>
    <row r="968" spans="7:23" x14ac:dyDescent="0.25">
      <c r="G968" s="263"/>
      <c r="H968" s="263"/>
      <c r="I968" s="263"/>
      <c r="J968" s="263"/>
      <c r="K968" s="263"/>
      <c r="L968" s="263"/>
      <c r="M968" s="263"/>
      <c r="N968" s="263"/>
      <c r="O968" s="263"/>
      <c r="P968" s="263"/>
      <c r="Q968" s="263"/>
      <c r="R968" s="263"/>
      <c r="S968" s="263"/>
      <c r="T968" s="263"/>
      <c r="U968" s="263"/>
      <c r="W968" s="263"/>
    </row>
    <row r="969" spans="7:23" x14ac:dyDescent="0.25">
      <c r="G969" s="263"/>
      <c r="H969" s="263"/>
      <c r="I969" s="263"/>
      <c r="J969" s="263"/>
      <c r="K969" s="263"/>
      <c r="L969" s="263"/>
      <c r="M969" s="263"/>
      <c r="N969" s="263"/>
      <c r="O969" s="263"/>
      <c r="P969" s="263"/>
      <c r="Q969" s="263"/>
      <c r="R969" s="263"/>
      <c r="S969" s="263"/>
      <c r="T969" s="263"/>
      <c r="U969" s="263"/>
    </row>
    <row r="973" spans="7:23" x14ac:dyDescent="0.25">
      <c r="W973" s="263"/>
    </row>
    <row r="974" spans="7:23" x14ac:dyDescent="0.25">
      <c r="G974" s="263"/>
      <c r="H974" s="263"/>
      <c r="I974" s="263"/>
      <c r="J974" s="263"/>
      <c r="K974" s="263"/>
      <c r="L974" s="263"/>
      <c r="M974" s="263"/>
      <c r="N974" s="263"/>
      <c r="O974" s="263"/>
      <c r="P974" s="263"/>
      <c r="Q974" s="263"/>
      <c r="R974" s="263"/>
      <c r="S974" s="263"/>
      <c r="T974" s="263"/>
      <c r="U974" s="263"/>
      <c r="W974" s="263"/>
    </row>
    <row r="975" spans="7:23" x14ac:dyDescent="0.25">
      <c r="G975" s="263"/>
      <c r="H975" s="263"/>
      <c r="I975" s="263"/>
      <c r="J975" s="263"/>
      <c r="K975" s="263"/>
      <c r="L975" s="263"/>
      <c r="M975" s="263"/>
      <c r="N975" s="263"/>
      <c r="O975" s="263"/>
      <c r="P975" s="263"/>
      <c r="Q975" s="263"/>
      <c r="R975" s="263"/>
      <c r="S975" s="263"/>
      <c r="T975" s="263"/>
      <c r="U975" s="263"/>
      <c r="W975" s="263"/>
    </row>
    <row r="976" spans="7:23" x14ac:dyDescent="0.25">
      <c r="G976" s="263"/>
      <c r="H976" s="263"/>
      <c r="I976" s="263"/>
      <c r="J976" s="263"/>
      <c r="K976" s="263"/>
      <c r="L976" s="263"/>
      <c r="M976" s="263"/>
      <c r="N976" s="263"/>
      <c r="O976" s="263"/>
      <c r="P976" s="263"/>
      <c r="Q976" s="263"/>
      <c r="R976" s="263"/>
      <c r="S976" s="263"/>
      <c r="T976" s="263"/>
      <c r="U976" s="263"/>
      <c r="W976" s="263"/>
    </row>
    <row r="977" spans="7:23" x14ac:dyDescent="0.25">
      <c r="G977" s="263"/>
      <c r="H977" s="263"/>
      <c r="I977" s="263"/>
      <c r="J977" s="263"/>
      <c r="K977" s="263"/>
      <c r="L977" s="263"/>
      <c r="M977" s="263"/>
      <c r="N977" s="263"/>
      <c r="O977" s="263"/>
      <c r="P977" s="263"/>
      <c r="Q977" s="263"/>
      <c r="R977" s="263"/>
      <c r="S977" s="263"/>
      <c r="T977" s="263"/>
      <c r="U977" s="263"/>
    </row>
    <row r="981" spans="7:23" x14ac:dyDescent="0.25">
      <c r="W981" s="263"/>
    </row>
    <row r="982" spans="7:23" x14ac:dyDescent="0.25">
      <c r="G982" s="263"/>
      <c r="H982" s="263"/>
      <c r="I982" s="263"/>
      <c r="J982" s="263"/>
      <c r="K982" s="263"/>
      <c r="L982" s="263"/>
      <c r="M982" s="263"/>
      <c r="N982" s="263"/>
      <c r="O982" s="263"/>
      <c r="P982" s="263"/>
      <c r="Q982" s="263"/>
      <c r="R982" s="263"/>
      <c r="S982" s="263"/>
      <c r="T982" s="263"/>
      <c r="U982" s="263"/>
      <c r="W982" s="263"/>
    </row>
    <row r="983" spans="7:23" x14ac:dyDescent="0.25">
      <c r="G983" s="263"/>
      <c r="H983" s="263"/>
      <c r="I983" s="263"/>
      <c r="J983" s="263"/>
      <c r="K983" s="263"/>
      <c r="L983" s="263"/>
      <c r="M983" s="263"/>
      <c r="N983" s="263"/>
      <c r="O983" s="263"/>
      <c r="P983" s="263"/>
      <c r="Q983" s="263"/>
      <c r="R983" s="263"/>
      <c r="S983" s="263"/>
      <c r="T983" s="263"/>
      <c r="U983" s="263"/>
      <c r="W983" s="263"/>
    </row>
    <row r="984" spans="7:23" x14ac:dyDescent="0.25">
      <c r="G984" s="263"/>
      <c r="H984" s="263"/>
      <c r="I984" s="263"/>
      <c r="J984" s="263"/>
      <c r="K984" s="263"/>
      <c r="L984" s="263"/>
      <c r="M984" s="263"/>
      <c r="N984" s="263"/>
      <c r="O984" s="263"/>
      <c r="P984" s="263"/>
      <c r="Q984" s="263"/>
      <c r="R984" s="263"/>
      <c r="S984" s="263"/>
      <c r="T984" s="263"/>
      <c r="U984" s="263"/>
      <c r="W984" s="263"/>
    </row>
    <row r="985" spans="7:23" x14ac:dyDescent="0.25">
      <c r="G985" s="263"/>
      <c r="H985" s="263"/>
      <c r="I985" s="263"/>
      <c r="J985" s="263"/>
      <c r="K985" s="263"/>
      <c r="L985" s="263"/>
      <c r="M985" s="263"/>
      <c r="N985" s="263"/>
      <c r="O985" s="263"/>
      <c r="P985" s="263"/>
      <c r="Q985" s="263"/>
      <c r="R985" s="263"/>
      <c r="S985" s="263"/>
      <c r="T985" s="263"/>
      <c r="U985" s="263"/>
    </row>
    <row r="987" spans="7:23" x14ac:dyDescent="0.25">
      <c r="W987" s="263"/>
    </row>
    <row r="988" spans="7:23" x14ac:dyDescent="0.25">
      <c r="G988" s="263"/>
      <c r="H988" s="263"/>
      <c r="I988" s="263"/>
      <c r="J988" s="263"/>
      <c r="K988" s="263"/>
      <c r="L988" s="263"/>
      <c r="M988" s="263"/>
      <c r="N988" s="263"/>
      <c r="O988" s="263"/>
      <c r="P988" s="263"/>
      <c r="Q988" s="263"/>
      <c r="R988" s="263"/>
      <c r="S988" s="263"/>
      <c r="T988" s="263"/>
      <c r="U988" s="263"/>
      <c r="W988" s="263"/>
    </row>
    <row r="989" spans="7:23" x14ac:dyDescent="0.25">
      <c r="G989" s="263"/>
      <c r="H989" s="263"/>
      <c r="I989" s="263"/>
      <c r="J989" s="263"/>
      <c r="K989" s="263"/>
      <c r="L989" s="263"/>
      <c r="M989" s="263"/>
      <c r="N989" s="263"/>
      <c r="O989" s="263"/>
      <c r="P989" s="263"/>
      <c r="Q989" s="263"/>
      <c r="R989" s="263"/>
      <c r="S989" s="263"/>
      <c r="T989" s="263"/>
      <c r="U989" s="263"/>
      <c r="W989" s="263"/>
    </row>
    <row r="990" spans="7:23" x14ac:dyDescent="0.25">
      <c r="G990" s="263"/>
      <c r="H990" s="263"/>
      <c r="I990" s="263"/>
      <c r="J990" s="263"/>
      <c r="K990" s="263"/>
      <c r="L990" s="263"/>
      <c r="M990" s="263"/>
      <c r="N990" s="263"/>
      <c r="O990" s="263"/>
      <c r="P990" s="263"/>
      <c r="Q990" s="263"/>
      <c r="R990" s="263"/>
      <c r="S990" s="263"/>
      <c r="T990" s="263"/>
      <c r="U990" s="263"/>
    </row>
    <row r="996" spans="2:23" x14ac:dyDescent="0.25">
      <c r="W996" s="263"/>
    </row>
    <row r="997" spans="2:23" x14ac:dyDescent="0.25">
      <c r="B997" s="264"/>
      <c r="G997" s="263"/>
      <c r="H997" s="263"/>
      <c r="I997" s="263"/>
      <c r="J997" s="263"/>
      <c r="K997" s="263"/>
      <c r="L997" s="263"/>
      <c r="M997" s="263"/>
      <c r="N997" s="263"/>
      <c r="O997" s="263"/>
      <c r="P997" s="263"/>
      <c r="Q997" s="263"/>
      <c r="R997" s="263"/>
      <c r="S997" s="263"/>
      <c r="T997" s="263"/>
      <c r="U997" s="263"/>
    </row>
    <row r="999" spans="2:23" x14ac:dyDescent="0.25">
      <c r="W999" s="263"/>
    </row>
    <row r="1000" spans="2:23" x14ac:dyDescent="0.25">
      <c r="B1000" s="264"/>
      <c r="G1000" s="263"/>
      <c r="H1000" s="263"/>
      <c r="I1000" s="263"/>
      <c r="J1000" s="263"/>
      <c r="K1000" s="263"/>
      <c r="L1000" s="263"/>
      <c r="M1000" s="263"/>
      <c r="N1000" s="263"/>
      <c r="O1000" s="263"/>
      <c r="P1000" s="263"/>
      <c r="Q1000" s="263"/>
      <c r="R1000" s="263"/>
      <c r="S1000" s="263"/>
      <c r="T1000" s="263"/>
      <c r="U1000" s="263"/>
    </row>
    <row r="1002" spans="2:23" x14ac:dyDescent="0.25">
      <c r="W1002" s="263"/>
    </row>
    <row r="1003" spans="2:23" x14ac:dyDescent="0.25">
      <c r="G1003" s="263"/>
      <c r="H1003" s="263"/>
      <c r="I1003" s="263"/>
      <c r="J1003" s="263"/>
      <c r="K1003" s="263"/>
      <c r="L1003" s="263"/>
      <c r="M1003" s="263"/>
      <c r="N1003" s="263"/>
      <c r="O1003" s="263"/>
      <c r="P1003" s="263"/>
      <c r="Q1003" s="263"/>
      <c r="R1003" s="263"/>
      <c r="S1003" s="263"/>
      <c r="T1003" s="263"/>
      <c r="U1003" s="263"/>
      <c r="W1003" s="263"/>
    </row>
    <row r="1004" spans="2:23" x14ac:dyDescent="0.25">
      <c r="G1004" s="263"/>
      <c r="H1004" s="263"/>
      <c r="I1004" s="263"/>
      <c r="J1004" s="263"/>
      <c r="K1004" s="263"/>
      <c r="L1004" s="263"/>
      <c r="M1004" s="263"/>
      <c r="N1004" s="263"/>
      <c r="O1004" s="263"/>
      <c r="P1004" s="263"/>
      <c r="Q1004" s="263"/>
      <c r="R1004" s="263"/>
      <c r="S1004" s="263"/>
      <c r="T1004" s="263"/>
      <c r="U1004" s="263"/>
      <c r="W1004" s="263"/>
    </row>
    <row r="1005" spans="2:23" x14ac:dyDescent="0.25">
      <c r="G1005" s="263"/>
      <c r="H1005" s="263"/>
      <c r="I1005" s="263"/>
      <c r="J1005" s="263"/>
      <c r="K1005" s="263"/>
      <c r="L1005" s="263"/>
      <c r="M1005" s="263"/>
      <c r="N1005" s="263"/>
      <c r="O1005" s="263"/>
      <c r="P1005" s="263"/>
      <c r="Q1005" s="263"/>
      <c r="R1005" s="263"/>
      <c r="S1005" s="263"/>
      <c r="T1005" s="263"/>
      <c r="U1005" s="263"/>
    </row>
    <row r="1007" spans="2:23" x14ac:dyDescent="0.25">
      <c r="W1007" s="263"/>
    </row>
    <row r="1008" spans="2:23" x14ac:dyDescent="0.25">
      <c r="B1008" s="264"/>
      <c r="G1008" s="263"/>
      <c r="H1008" s="263"/>
      <c r="I1008" s="263"/>
      <c r="J1008" s="263"/>
      <c r="K1008" s="263"/>
      <c r="L1008" s="263"/>
      <c r="M1008" s="263"/>
      <c r="N1008" s="263"/>
      <c r="O1008" s="263"/>
      <c r="P1008" s="263"/>
      <c r="Q1008" s="263"/>
      <c r="R1008" s="263"/>
      <c r="S1008" s="263"/>
      <c r="T1008" s="263"/>
      <c r="U1008" s="263"/>
    </row>
    <row r="1012" spans="7:23" x14ac:dyDescent="0.25">
      <c r="W1012" s="263"/>
    </row>
    <row r="1013" spans="7:23" x14ac:dyDescent="0.25">
      <c r="G1013" s="263"/>
      <c r="H1013" s="263"/>
      <c r="I1013" s="263"/>
      <c r="J1013" s="263"/>
      <c r="K1013" s="263"/>
      <c r="L1013" s="263"/>
      <c r="M1013" s="263"/>
      <c r="N1013" s="263"/>
      <c r="O1013" s="263"/>
      <c r="P1013" s="263"/>
      <c r="Q1013" s="263"/>
      <c r="R1013" s="263"/>
      <c r="S1013" s="263"/>
      <c r="T1013" s="263"/>
      <c r="U1013" s="263"/>
      <c r="W1013" s="263"/>
    </row>
    <row r="1014" spans="7:23" x14ac:dyDescent="0.25">
      <c r="G1014" s="263"/>
      <c r="H1014" s="263"/>
      <c r="I1014" s="263"/>
      <c r="J1014" s="263"/>
      <c r="K1014" s="263"/>
      <c r="L1014" s="263"/>
      <c r="M1014" s="263"/>
      <c r="N1014" s="263"/>
      <c r="O1014" s="263"/>
      <c r="P1014" s="263"/>
      <c r="Q1014" s="263"/>
      <c r="R1014" s="263"/>
      <c r="S1014" s="263"/>
      <c r="T1014" s="263"/>
      <c r="U1014" s="263"/>
      <c r="W1014" s="263"/>
    </row>
    <row r="1015" spans="7:23" x14ac:dyDescent="0.25">
      <c r="G1015" s="263"/>
      <c r="H1015" s="263"/>
      <c r="I1015" s="263"/>
      <c r="J1015" s="263"/>
      <c r="K1015" s="263"/>
      <c r="L1015" s="263"/>
      <c r="M1015" s="263"/>
      <c r="N1015" s="263"/>
      <c r="O1015" s="263"/>
      <c r="P1015" s="263"/>
      <c r="Q1015" s="263"/>
      <c r="R1015" s="263"/>
      <c r="S1015" s="263"/>
      <c r="T1015" s="263"/>
      <c r="U1015" s="263"/>
    </row>
    <row r="1017" spans="7:23" x14ac:dyDescent="0.25">
      <c r="W1017" s="263"/>
    </row>
    <row r="1018" spans="7:23" x14ac:dyDescent="0.25">
      <c r="G1018" s="263"/>
      <c r="H1018" s="263"/>
      <c r="I1018" s="263"/>
      <c r="J1018" s="263"/>
      <c r="K1018" s="263"/>
      <c r="L1018" s="263"/>
      <c r="M1018" s="263"/>
      <c r="N1018" s="263"/>
      <c r="O1018" s="263"/>
      <c r="P1018" s="263"/>
      <c r="Q1018" s="263"/>
      <c r="R1018" s="263"/>
      <c r="S1018" s="263"/>
      <c r="T1018" s="263"/>
      <c r="U1018" s="263"/>
      <c r="W1018" s="263"/>
    </row>
    <row r="1019" spans="7:23" x14ac:dyDescent="0.25">
      <c r="G1019" s="263"/>
      <c r="H1019" s="263"/>
      <c r="I1019" s="263"/>
      <c r="J1019" s="263"/>
      <c r="K1019" s="263"/>
      <c r="L1019" s="263"/>
      <c r="M1019" s="263"/>
      <c r="N1019" s="263"/>
      <c r="O1019" s="263"/>
      <c r="P1019" s="263"/>
      <c r="Q1019" s="263"/>
      <c r="R1019" s="263"/>
      <c r="S1019" s="263"/>
      <c r="T1019" s="263"/>
      <c r="U1019" s="263"/>
      <c r="W1019" s="263"/>
    </row>
    <row r="1020" spans="7:23" x14ac:dyDescent="0.25">
      <c r="G1020" s="263"/>
      <c r="H1020" s="263"/>
      <c r="I1020" s="263"/>
      <c r="J1020" s="263"/>
      <c r="K1020" s="263"/>
      <c r="L1020" s="263"/>
      <c r="M1020" s="263"/>
      <c r="N1020" s="263"/>
      <c r="O1020" s="263"/>
      <c r="P1020" s="263"/>
      <c r="Q1020" s="263"/>
      <c r="R1020" s="263"/>
      <c r="S1020" s="263"/>
      <c r="T1020" s="263"/>
      <c r="U1020" s="263"/>
      <c r="W1020" s="263"/>
    </row>
    <row r="1021" spans="7:23" x14ac:dyDescent="0.25">
      <c r="G1021" s="263"/>
      <c r="H1021" s="263"/>
      <c r="I1021" s="263"/>
      <c r="J1021" s="263"/>
      <c r="K1021" s="263"/>
      <c r="L1021" s="263"/>
      <c r="M1021" s="263"/>
      <c r="N1021" s="263"/>
      <c r="O1021" s="263"/>
      <c r="P1021" s="263"/>
      <c r="Q1021" s="263"/>
      <c r="R1021" s="263"/>
      <c r="S1021" s="263"/>
      <c r="T1021" s="263"/>
      <c r="U1021" s="263"/>
      <c r="W1021" s="263"/>
    </row>
    <row r="1022" spans="7:23" x14ac:dyDescent="0.25">
      <c r="G1022" s="263"/>
      <c r="H1022" s="263"/>
      <c r="I1022" s="263"/>
      <c r="J1022" s="263"/>
      <c r="K1022" s="263"/>
      <c r="L1022" s="263"/>
      <c r="M1022" s="263"/>
      <c r="N1022" s="263"/>
      <c r="O1022" s="263"/>
      <c r="P1022" s="263"/>
      <c r="Q1022" s="263"/>
      <c r="R1022" s="263"/>
      <c r="S1022" s="263"/>
      <c r="T1022" s="263"/>
      <c r="U1022" s="263"/>
    </row>
    <row r="1026" spans="7:23" x14ac:dyDescent="0.25">
      <c r="W1026" s="263"/>
    </row>
    <row r="1027" spans="7:23" x14ac:dyDescent="0.25">
      <c r="G1027" s="263"/>
      <c r="H1027" s="263"/>
      <c r="I1027" s="263"/>
      <c r="J1027" s="263"/>
      <c r="K1027" s="263"/>
      <c r="L1027" s="263"/>
      <c r="M1027" s="263"/>
      <c r="N1027" s="263"/>
      <c r="O1027" s="263"/>
      <c r="P1027" s="263"/>
      <c r="Q1027" s="263"/>
      <c r="R1027" s="263"/>
      <c r="S1027" s="263"/>
      <c r="T1027" s="263"/>
      <c r="U1027" s="263"/>
    </row>
    <row r="1029" spans="7:23" x14ac:dyDescent="0.25">
      <c r="W1029" s="263"/>
    </row>
    <row r="1030" spans="7:23" x14ac:dyDescent="0.25">
      <c r="G1030" s="263"/>
      <c r="H1030" s="263"/>
      <c r="I1030" s="263"/>
      <c r="J1030" s="263"/>
      <c r="K1030" s="263"/>
      <c r="L1030" s="263"/>
      <c r="M1030" s="263"/>
      <c r="N1030" s="263"/>
      <c r="O1030" s="263"/>
      <c r="P1030" s="263"/>
      <c r="Q1030" s="263"/>
      <c r="R1030" s="263"/>
      <c r="S1030" s="263"/>
      <c r="T1030" s="263"/>
      <c r="U1030" s="263"/>
      <c r="W1030" s="263"/>
    </row>
    <row r="1031" spans="7:23" x14ac:dyDescent="0.25">
      <c r="G1031" s="263"/>
      <c r="H1031" s="263"/>
      <c r="I1031" s="263"/>
      <c r="J1031" s="263"/>
      <c r="K1031" s="263"/>
      <c r="L1031" s="263"/>
      <c r="M1031" s="263"/>
      <c r="N1031" s="263"/>
      <c r="O1031" s="263"/>
      <c r="P1031" s="263"/>
      <c r="Q1031" s="263"/>
      <c r="R1031" s="263"/>
      <c r="S1031" s="263"/>
      <c r="T1031" s="263"/>
      <c r="U1031" s="263"/>
      <c r="W1031" s="263"/>
    </row>
    <row r="1032" spans="7:23" x14ac:dyDescent="0.25">
      <c r="G1032" s="263"/>
      <c r="H1032" s="263"/>
      <c r="I1032" s="263"/>
      <c r="J1032" s="263"/>
      <c r="K1032" s="263"/>
      <c r="L1032" s="263"/>
      <c r="M1032" s="263"/>
      <c r="N1032" s="263"/>
      <c r="O1032" s="263"/>
      <c r="P1032" s="263"/>
      <c r="Q1032" s="263"/>
      <c r="R1032" s="263"/>
      <c r="S1032" s="263"/>
      <c r="T1032" s="263"/>
      <c r="U1032" s="263"/>
      <c r="W1032" s="263"/>
    </row>
    <row r="1033" spans="7:23" x14ac:dyDescent="0.25">
      <c r="G1033" s="263"/>
      <c r="H1033" s="263"/>
      <c r="I1033" s="263"/>
      <c r="J1033" s="263"/>
      <c r="K1033" s="263"/>
      <c r="L1033" s="263"/>
      <c r="M1033" s="263"/>
      <c r="N1033" s="263"/>
      <c r="O1033" s="263"/>
      <c r="P1033" s="263"/>
      <c r="Q1033" s="263"/>
      <c r="R1033" s="263"/>
      <c r="S1033" s="263"/>
      <c r="T1033" s="263"/>
      <c r="U1033" s="263"/>
      <c r="W1033" s="263"/>
    </row>
    <row r="1034" spans="7:23" x14ac:dyDescent="0.25">
      <c r="G1034" s="263"/>
      <c r="H1034" s="263"/>
      <c r="I1034" s="263"/>
      <c r="J1034" s="263"/>
      <c r="K1034" s="263"/>
      <c r="L1034" s="263"/>
      <c r="M1034" s="263"/>
      <c r="N1034" s="263"/>
      <c r="O1034" s="263"/>
      <c r="P1034" s="263"/>
      <c r="Q1034" s="263"/>
      <c r="R1034" s="263"/>
      <c r="S1034" s="263"/>
      <c r="T1034" s="263"/>
      <c r="U1034" s="263"/>
      <c r="W1034" s="263"/>
    </row>
    <row r="1035" spans="7:23" x14ac:dyDescent="0.25">
      <c r="G1035" s="263"/>
      <c r="H1035" s="263"/>
      <c r="I1035" s="263"/>
      <c r="J1035" s="263"/>
      <c r="K1035" s="263"/>
      <c r="L1035" s="263"/>
      <c r="M1035" s="263"/>
      <c r="N1035" s="263"/>
      <c r="O1035" s="263"/>
      <c r="P1035" s="263"/>
      <c r="Q1035" s="263"/>
      <c r="R1035" s="263"/>
      <c r="S1035" s="263"/>
      <c r="T1035" s="263"/>
      <c r="U1035" s="263"/>
      <c r="W1035" s="263"/>
    </row>
    <row r="1036" spans="7:23" x14ac:dyDescent="0.25">
      <c r="G1036" s="263"/>
      <c r="H1036" s="263"/>
      <c r="I1036" s="263"/>
      <c r="J1036" s="263"/>
      <c r="K1036" s="263"/>
      <c r="L1036" s="263"/>
      <c r="M1036" s="263"/>
      <c r="N1036" s="263"/>
      <c r="O1036" s="263"/>
      <c r="P1036" s="263"/>
      <c r="Q1036" s="263"/>
      <c r="R1036" s="263"/>
      <c r="S1036" s="263"/>
      <c r="T1036" s="263"/>
      <c r="U1036" s="263"/>
      <c r="W1036" s="263"/>
    </row>
    <row r="1037" spans="7:23" x14ac:dyDescent="0.25">
      <c r="G1037" s="263"/>
      <c r="H1037" s="263"/>
      <c r="I1037" s="263"/>
      <c r="J1037" s="263"/>
      <c r="K1037" s="263"/>
      <c r="L1037" s="263"/>
      <c r="M1037" s="263"/>
      <c r="N1037" s="263"/>
      <c r="O1037" s="263"/>
      <c r="P1037" s="263"/>
      <c r="Q1037" s="263"/>
      <c r="R1037" s="263"/>
      <c r="S1037" s="263"/>
      <c r="T1037" s="263"/>
      <c r="U1037" s="263"/>
      <c r="W1037" s="263"/>
    </row>
    <row r="1038" spans="7:23" x14ac:dyDescent="0.25">
      <c r="G1038" s="263"/>
      <c r="H1038" s="263"/>
      <c r="I1038" s="263"/>
      <c r="J1038" s="263"/>
      <c r="K1038" s="263"/>
      <c r="L1038" s="263"/>
      <c r="M1038" s="263"/>
      <c r="N1038" s="263"/>
      <c r="O1038" s="263"/>
      <c r="P1038" s="263"/>
      <c r="Q1038" s="263"/>
      <c r="R1038" s="263"/>
      <c r="S1038" s="263"/>
      <c r="T1038" s="263"/>
      <c r="U1038" s="263"/>
      <c r="W1038" s="263"/>
    </row>
    <row r="1039" spans="7:23" x14ac:dyDescent="0.25">
      <c r="G1039" s="263"/>
      <c r="H1039" s="263"/>
      <c r="I1039" s="263"/>
      <c r="J1039" s="263"/>
      <c r="K1039" s="263"/>
      <c r="L1039" s="263"/>
      <c r="M1039" s="263"/>
      <c r="N1039" s="263"/>
      <c r="O1039" s="263"/>
      <c r="P1039" s="263"/>
      <c r="Q1039" s="263"/>
      <c r="R1039" s="263"/>
      <c r="S1039" s="263"/>
      <c r="T1039" s="263"/>
      <c r="U1039" s="263"/>
      <c r="W1039" s="263"/>
    </row>
    <row r="1040" spans="7:23" x14ac:dyDescent="0.25">
      <c r="G1040" s="263"/>
      <c r="H1040" s="263"/>
      <c r="I1040" s="263"/>
      <c r="J1040" s="263"/>
      <c r="K1040" s="263"/>
      <c r="L1040" s="263"/>
      <c r="M1040" s="263"/>
      <c r="N1040" s="263"/>
      <c r="O1040" s="263"/>
      <c r="P1040" s="263"/>
      <c r="Q1040" s="263"/>
      <c r="R1040" s="263"/>
      <c r="S1040" s="263"/>
      <c r="T1040" s="263"/>
      <c r="U1040" s="263"/>
    </row>
    <row r="1042" spans="2:23" x14ac:dyDescent="0.25">
      <c r="W1042" s="263"/>
    </row>
    <row r="1043" spans="2:23" x14ac:dyDescent="0.25">
      <c r="G1043" s="263"/>
      <c r="H1043" s="263"/>
      <c r="I1043" s="263"/>
      <c r="J1043" s="263"/>
      <c r="K1043" s="263"/>
      <c r="L1043" s="263"/>
      <c r="M1043" s="263"/>
      <c r="N1043" s="263"/>
      <c r="O1043" s="263"/>
      <c r="P1043" s="263"/>
      <c r="Q1043" s="263"/>
      <c r="R1043" s="263"/>
      <c r="S1043" s="263"/>
      <c r="T1043" s="263"/>
      <c r="U1043" s="263"/>
    </row>
    <row r="1045" spans="2:23" x14ac:dyDescent="0.25">
      <c r="W1045" s="263"/>
    </row>
    <row r="1046" spans="2:23" x14ac:dyDescent="0.25">
      <c r="G1046" s="263"/>
      <c r="H1046" s="263"/>
      <c r="I1046" s="263"/>
      <c r="J1046" s="263"/>
      <c r="K1046" s="263"/>
      <c r="L1046" s="263"/>
      <c r="M1046" s="263"/>
      <c r="N1046" s="263"/>
      <c r="O1046" s="263"/>
      <c r="P1046" s="263"/>
      <c r="Q1046" s="263"/>
      <c r="R1046" s="263"/>
      <c r="S1046" s="263"/>
      <c r="T1046" s="263"/>
      <c r="U1046" s="263"/>
      <c r="W1046" s="263"/>
    </row>
    <row r="1047" spans="2:23" x14ac:dyDescent="0.25">
      <c r="G1047" s="263"/>
      <c r="H1047" s="263"/>
      <c r="I1047" s="263"/>
      <c r="J1047" s="263"/>
      <c r="K1047" s="263"/>
      <c r="L1047" s="263"/>
      <c r="M1047" s="263"/>
      <c r="N1047" s="263"/>
      <c r="O1047" s="263"/>
      <c r="P1047" s="263"/>
      <c r="Q1047" s="263"/>
      <c r="R1047" s="263"/>
      <c r="S1047" s="263"/>
      <c r="T1047" s="263"/>
      <c r="U1047" s="263"/>
      <c r="W1047" s="263"/>
    </row>
    <row r="1048" spans="2:23" x14ac:dyDescent="0.25">
      <c r="G1048" s="263"/>
      <c r="H1048" s="263"/>
      <c r="I1048" s="263"/>
      <c r="J1048" s="263"/>
      <c r="K1048" s="263"/>
      <c r="L1048" s="263"/>
      <c r="M1048" s="263"/>
      <c r="N1048" s="263"/>
      <c r="O1048" s="263"/>
      <c r="P1048" s="263"/>
      <c r="Q1048" s="263"/>
      <c r="R1048" s="263"/>
      <c r="S1048" s="263"/>
      <c r="T1048" s="263"/>
      <c r="U1048" s="263"/>
      <c r="W1048" s="263"/>
    </row>
    <row r="1049" spans="2:23" x14ac:dyDescent="0.25">
      <c r="G1049" s="263"/>
      <c r="H1049" s="263"/>
      <c r="I1049" s="263"/>
      <c r="J1049" s="263"/>
      <c r="K1049" s="263"/>
      <c r="L1049" s="263"/>
      <c r="M1049" s="263"/>
      <c r="N1049" s="263"/>
      <c r="O1049" s="263"/>
      <c r="P1049" s="263"/>
      <c r="Q1049" s="263"/>
      <c r="R1049" s="263"/>
      <c r="S1049" s="263"/>
      <c r="T1049" s="263"/>
      <c r="U1049" s="263"/>
    </row>
    <row r="1053" spans="2:23" x14ac:dyDescent="0.25">
      <c r="W1053" s="263"/>
    </row>
    <row r="1054" spans="2:23" x14ac:dyDescent="0.25">
      <c r="B1054" s="264"/>
      <c r="G1054" s="263"/>
      <c r="H1054" s="263"/>
      <c r="I1054" s="263"/>
      <c r="J1054" s="263"/>
      <c r="K1054" s="263"/>
      <c r="L1054" s="263"/>
      <c r="M1054" s="263"/>
      <c r="N1054" s="263"/>
      <c r="O1054" s="263"/>
      <c r="P1054" s="263"/>
      <c r="Q1054" s="263"/>
      <c r="R1054" s="263"/>
      <c r="S1054" s="263"/>
      <c r="T1054" s="263"/>
      <c r="U1054" s="263"/>
    </row>
    <row r="1056" spans="2:23" x14ac:dyDescent="0.25">
      <c r="W1056" s="263"/>
    </row>
    <row r="1057" spans="2:23" x14ac:dyDescent="0.25">
      <c r="B1057" s="264"/>
      <c r="G1057" s="263"/>
      <c r="H1057" s="263"/>
      <c r="I1057" s="263"/>
      <c r="J1057" s="263"/>
      <c r="K1057" s="263"/>
      <c r="L1057" s="263"/>
      <c r="M1057" s="263"/>
      <c r="N1057" s="263"/>
      <c r="O1057" s="263"/>
      <c r="P1057" s="263"/>
      <c r="Q1057" s="263"/>
      <c r="R1057" s="263"/>
      <c r="S1057" s="263"/>
      <c r="T1057" s="263"/>
      <c r="U1057" s="263"/>
    </row>
    <row r="1059" spans="2:23" x14ac:dyDescent="0.25">
      <c r="W1059" s="263"/>
    </row>
    <row r="1060" spans="2:23" x14ac:dyDescent="0.25">
      <c r="B1060" s="264"/>
      <c r="G1060" s="263"/>
      <c r="H1060" s="263"/>
      <c r="I1060" s="263"/>
      <c r="J1060" s="263"/>
      <c r="K1060" s="263"/>
      <c r="L1060" s="263"/>
      <c r="M1060" s="263"/>
      <c r="N1060" s="263"/>
      <c r="O1060" s="263"/>
      <c r="P1060" s="263"/>
      <c r="Q1060" s="263"/>
      <c r="R1060" s="263"/>
      <c r="S1060" s="263"/>
      <c r="T1060" s="263"/>
      <c r="U1060" s="263"/>
    </row>
    <row r="1064" spans="2:23" x14ac:dyDescent="0.25">
      <c r="W1064" s="263"/>
    </row>
    <row r="1065" spans="2:23" x14ac:dyDescent="0.25">
      <c r="G1065" s="263"/>
      <c r="H1065" s="263"/>
      <c r="I1065" s="263"/>
      <c r="J1065" s="263"/>
      <c r="K1065" s="263"/>
      <c r="L1065" s="263"/>
      <c r="M1065" s="263"/>
      <c r="N1065" s="263"/>
      <c r="O1065" s="263"/>
      <c r="P1065" s="263"/>
      <c r="Q1065" s="263"/>
      <c r="R1065" s="263"/>
      <c r="S1065" s="263"/>
      <c r="T1065" s="263"/>
      <c r="U1065" s="263"/>
      <c r="W1065" s="263"/>
    </row>
    <row r="1066" spans="2:23" x14ac:dyDescent="0.25">
      <c r="G1066" s="263"/>
      <c r="H1066" s="263"/>
      <c r="I1066" s="263"/>
      <c r="J1066" s="263"/>
      <c r="K1066" s="263"/>
      <c r="L1066" s="263"/>
      <c r="M1066" s="263"/>
      <c r="N1066" s="263"/>
      <c r="O1066" s="263"/>
      <c r="P1066" s="263"/>
      <c r="Q1066" s="263"/>
      <c r="R1066" s="263"/>
      <c r="S1066" s="263"/>
      <c r="T1066" s="263"/>
      <c r="U1066" s="263"/>
      <c r="W1066" s="263"/>
    </row>
    <row r="1067" spans="2:23" x14ac:dyDescent="0.25">
      <c r="G1067" s="263"/>
      <c r="H1067" s="263"/>
      <c r="I1067" s="263"/>
      <c r="J1067" s="263"/>
      <c r="K1067" s="263"/>
      <c r="L1067" s="263"/>
      <c r="M1067" s="263"/>
      <c r="N1067" s="263"/>
      <c r="O1067" s="263"/>
      <c r="P1067" s="263"/>
      <c r="Q1067" s="263"/>
      <c r="R1067" s="263"/>
      <c r="S1067" s="263"/>
      <c r="T1067" s="263"/>
      <c r="U1067" s="263"/>
      <c r="W1067" s="263"/>
    </row>
    <row r="1068" spans="2:23" x14ac:dyDescent="0.25">
      <c r="G1068" s="263"/>
      <c r="H1068" s="263"/>
      <c r="I1068" s="263"/>
      <c r="J1068" s="263"/>
      <c r="K1068" s="263"/>
      <c r="L1068" s="263"/>
      <c r="M1068" s="263"/>
      <c r="N1068" s="263"/>
      <c r="O1068" s="263"/>
      <c r="P1068" s="263"/>
      <c r="Q1068" s="263"/>
      <c r="R1068" s="263"/>
      <c r="S1068" s="263"/>
      <c r="T1068" s="263"/>
      <c r="U1068" s="263"/>
    </row>
    <row r="1070" spans="2:23" x14ac:dyDescent="0.25">
      <c r="W1070" s="263"/>
    </row>
    <row r="1071" spans="2:23" x14ac:dyDescent="0.25">
      <c r="G1071" s="263"/>
      <c r="H1071" s="263"/>
      <c r="I1071" s="263"/>
      <c r="J1071" s="263"/>
      <c r="K1071" s="263"/>
      <c r="L1071" s="263"/>
      <c r="M1071" s="263"/>
      <c r="N1071" s="263"/>
      <c r="O1071" s="263"/>
      <c r="P1071" s="263"/>
      <c r="Q1071" s="263"/>
      <c r="R1071" s="263"/>
      <c r="S1071" s="263"/>
      <c r="T1071" s="263"/>
      <c r="U1071" s="263"/>
    </row>
    <row r="1073" spans="7:23" x14ac:dyDescent="0.25">
      <c r="W1073" s="263"/>
    </row>
    <row r="1074" spans="7:23" x14ac:dyDescent="0.25">
      <c r="G1074" s="263"/>
      <c r="H1074" s="263"/>
      <c r="I1074" s="263"/>
      <c r="J1074" s="263"/>
      <c r="K1074" s="263"/>
      <c r="L1074" s="263"/>
      <c r="M1074" s="263"/>
      <c r="N1074" s="263"/>
      <c r="O1074" s="263"/>
      <c r="P1074" s="263"/>
      <c r="Q1074" s="263"/>
      <c r="R1074" s="263"/>
      <c r="S1074" s="263"/>
      <c r="T1074" s="263"/>
      <c r="U1074" s="263"/>
      <c r="W1074" s="263"/>
    </row>
    <row r="1075" spans="7:23" x14ac:dyDescent="0.25">
      <c r="G1075" s="263"/>
      <c r="H1075" s="263"/>
      <c r="I1075" s="263"/>
      <c r="J1075" s="263"/>
      <c r="K1075" s="263"/>
      <c r="L1075" s="263"/>
      <c r="M1075" s="263"/>
      <c r="N1075" s="263"/>
      <c r="O1075" s="263"/>
      <c r="P1075" s="263"/>
      <c r="Q1075" s="263"/>
      <c r="R1075" s="263"/>
      <c r="S1075" s="263"/>
      <c r="T1075" s="263"/>
      <c r="U1075" s="263"/>
      <c r="W1075" s="263"/>
    </row>
    <row r="1076" spans="7:23" x14ac:dyDescent="0.25">
      <c r="G1076" s="263"/>
      <c r="H1076" s="263"/>
      <c r="I1076" s="263"/>
      <c r="J1076" s="263"/>
      <c r="K1076" s="263"/>
      <c r="L1076" s="263"/>
      <c r="M1076" s="263"/>
      <c r="N1076" s="263"/>
      <c r="O1076" s="263"/>
      <c r="P1076" s="263"/>
      <c r="Q1076" s="263"/>
      <c r="R1076" s="263"/>
      <c r="S1076" s="263"/>
      <c r="T1076" s="263"/>
      <c r="U1076" s="263"/>
      <c r="W1076" s="263"/>
    </row>
    <row r="1077" spans="7:23" x14ac:dyDescent="0.25">
      <c r="G1077" s="263"/>
      <c r="H1077" s="263"/>
      <c r="I1077" s="263"/>
      <c r="J1077" s="263"/>
      <c r="K1077" s="263"/>
      <c r="L1077" s="263"/>
      <c r="M1077" s="263"/>
      <c r="N1077" s="263"/>
      <c r="O1077" s="263"/>
      <c r="P1077" s="263"/>
      <c r="Q1077" s="263"/>
      <c r="R1077" s="263"/>
      <c r="S1077" s="263"/>
      <c r="T1077" s="263"/>
      <c r="U1077" s="263"/>
      <c r="W1077" s="263"/>
    </row>
    <row r="1078" spans="7:23" x14ac:dyDescent="0.25">
      <c r="G1078" s="263"/>
      <c r="H1078" s="263"/>
      <c r="I1078" s="263"/>
      <c r="J1078" s="263"/>
      <c r="K1078" s="263"/>
      <c r="L1078" s="263"/>
      <c r="M1078" s="263"/>
      <c r="N1078" s="263"/>
      <c r="O1078" s="263"/>
      <c r="P1078" s="263"/>
      <c r="Q1078" s="263"/>
      <c r="R1078" s="263"/>
      <c r="S1078" s="263"/>
      <c r="T1078" s="263"/>
      <c r="U1078" s="263"/>
      <c r="W1078" s="263"/>
    </row>
    <row r="1079" spans="7:23" x14ac:dyDescent="0.25">
      <c r="G1079" s="263"/>
      <c r="H1079" s="263"/>
      <c r="I1079" s="263"/>
      <c r="J1079" s="263"/>
      <c r="K1079" s="263"/>
      <c r="L1079" s="263"/>
      <c r="M1079" s="263"/>
      <c r="N1079" s="263"/>
      <c r="O1079" s="263"/>
      <c r="P1079" s="263"/>
      <c r="Q1079" s="263"/>
      <c r="R1079" s="263"/>
      <c r="S1079" s="263"/>
      <c r="T1079" s="263"/>
      <c r="U1079" s="263"/>
    </row>
    <row r="1083" spans="7:23" x14ac:dyDescent="0.25">
      <c r="W1083" s="263"/>
    </row>
    <row r="1084" spans="7:23" x14ac:dyDescent="0.25">
      <c r="G1084" s="263"/>
      <c r="H1084" s="263"/>
      <c r="I1084" s="263"/>
      <c r="J1084" s="263"/>
      <c r="K1084" s="263"/>
      <c r="L1084" s="263"/>
      <c r="M1084" s="263"/>
      <c r="N1084" s="263"/>
      <c r="O1084" s="263"/>
      <c r="P1084" s="263"/>
      <c r="Q1084" s="263"/>
      <c r="R1084" s="263"/>
      <c r="S1084" s="263"/>
      <c r="T1084" s="263"/>
      <c r="U1084" s="263"/>
      <c r="W1084" s="263"/>
    </row>
    <row r="1085" spans="7:23" x14ac:dyDescent="0.25">
      <c r="G1085" s="263"/>
      <c r="H1085" s="263"/>
      <c r="I1085" s="263"/>
      <c r="J1085" s="263"/>
      <c r="K1085" s="263"/>
      <c r="L1085" s="263"/>
      <c r="M1085" s="263"/>
      <c r="N1085" s="263"/>
      <c r="O1085" s="263"/>
      <c r="P1085" s="263"/>
      <c r="Q1085" s="263"/>
      <c r="R1085" s="263"/>
      <c r="S1085" s="263"/>
      <c r="T1085" s="263"/>
      <c r="U1085" s="263"/>
    </row>
    <row r="1087" spans="7:23" x14ac:dyDescent="0.25">
      <c r="W1087" s="263"/>
    </row>
    <row r="1088" spans="7:23" x14ac:dyDescent="0.25">
      <c r="G1088" s="263"/>
      <c r="H1088" s="263"/>
      <c r="I1088" s="263"/>
      <c r="J1088" s="263"/>
      <c r="K1088" s="263"/>
      <c r="L1088" s="263"/>
      <c r="M1088" s="263"/>
      <c r="N1088" s="263"/>
      <c r="O1088" s="263"/>
      <c r="P1088" s="263"/>
      <c r="Q1088" s="263"/>
      <c r="R1088" s="263"/>
      <c r="S1088" s="263"/>
      <c r="T1088" s="263"/>
      <c r="U1088" s="263"/>
      <c r="W1088" s="263"/>
    </row>
    <row r="1089" spans="7:23" x14ac:dyDescent="0.25">
      <c r="G1089" s="263"/>
      <c r="H1089" s="263"/>
      <c r="I1089" s="263"/>
      <c r="J1089" s="263"/>
      <c r="K1089" s="263"/>
      <c r="L1089" s="263"/>
      <c r="M1089" s="263"/>
      <c r="N1089" s="263"/>
      <c r="O1089" s="263"/>
      <c r="P1089" s="263"/>
      <c r="Q1089" s="263"/>
      <c r="R1089" s="263"/>
      <c r="S1089" s="263"/>
      <c r="T1089" s="263"/>
      <c r="U1089" s="263"/>
      <c r="W1089" s="263"/>
    </row>
    <row r="1090" spans="7:23" x14ac:dyDescent="0.25">
      <c r="G1090" s="263"/>
      <c r="H1090" s="263"/>
      <c r="I1090" s="263"/>
      <c r="J1090" s="263"/>
      <c r="K1090" s="263"/>
      <c r="L1090" s="263"/>
      <c r="M1090" s="263"/>
      <c r="N1090" s="263"/>
      <c r="O1090" s="263"/>
      <c r="P1090" s="263"/>
      <c r="Q1090" s="263"/>
      <c r="R1090" s="263"/>
      <c r="S1090" s="263"/>
      <c r="T1090" s="263"/>
      <c r="U1090" s="263"/>
      <c r="W1090" s="263"/>
    </row>
    <row r="1091" spans="7:23" x14ac:dyDescent="0.25">
      <c r="G1091" s="263"/>
      <c r="H1091" s="263"/>
      <c r="I1091" s="263"/>
      <c r="J1091" s="263"/>
      <c r="K1091" s="263"/>
      <c r="L1091" s="263"/>
      <c r="M1091" s="263"/>
      <c r="N1091" s="263"/>
      <c r="O1091" s="263"/>
      <c r="P1091" s="263"/>
      <c r="Q1091" s="263"/>
      <c r="R1091" s="263"/>
      <c r="S1091" s="263"/>
      <c r="T1091" s="263"/>
      <c r="U1091" s="263"/>
      <c r="W1091" s="263"/>
    </row>
    <row r="1092" spans="7:23" x14ac:dyDescent="0.25">
      <c r="G1092" s="263"/>
      <c r="H1092" s="263"/>
      <c r="I1092" s="263"/>
      <c r="J1092" s="263"/>
      <c r="K1092" s="263"/>
      <c r="L1092" s="263"/>
      <c r="M1092" s="263"/>
      <c r="N1092" s="263"/>
      <c r="O1092" s="263"/>
      <c r="P1092" s="263"/>
      <c r="Q1092" s="263"/>
      <c r="R1092" s="263"/>
      <c r="S1092" s="263"/>
      <c r="T1092" s="263"/>
      <c r="U1092" s="263"/>
      <c r="W1092" s="263"/>
    </row>
    <row r="1093" spans="7:23" x14ac:dyDescent="0.25">
      <c r="G1093" s="263"/>
      <c r="H1093" s="263"/>
      <c r="I1093" s="263"/>
      <c r="J1093" s="263"/>
      <c r="K1093" s="263"/>
      <c r="L1093" s="263"/>
      <c r="M1093" s="263"/>
      <c r="N1093" s="263"/>
      <c r="O1093" s="263"/>
      <c r="P1093" s="263"/>
      <c r="Q1093" s="263"/>
      <c r="R1093" s="263"/>
      <c r="S1093" s="263"/>
      <c r="T1093" s="263"/>
      <c r="U1093" s="263"/>
      <c r="W1093" s="263"/>
    </row>
    <row r="1094" spans="7:23" x14ac:dyDescent="0.25">
      <c r="G1094" s="263"/>
      <c r="H1094" s="263"/>
      <c r="I1094" s="263"/>
      <c r="J1094" s="263"/>
      <c r="K1094" s="263"/>
      <c r="L1094" s="263"/>
      <c r="M1094" s="263"/>
      <c r="N1094" s="263"/>
      <c r="O1094" s="263"/>
      <c r="P1094" s="263"/>
      <c r="Q1094" s="263"/>
      <c r="R1094" s="263"/>
      <c r="S1094" s="263"/>
      <c r="T1094" s="263"/>
      <c r="U1094" s="263"/>
      <c r="W1094" s="263"/>
    </row>
    <row r="1095" spans="7:23" x14ac:dyDescent="0.25">
      <c r="G1095" s="263"/>
      <c r="H1095" s="263"/>
      <c r="I1095" s="263"/>
      <c r="J1095" s="263"/>
      <c r="K1095" s="263"/>
      <c r="L1095" s="263"/>
      <c r="M1095" s="263"/>
      <c r="N1095" s="263"/>
      <c r="O1095" s="263"/>
      <c r="P1095" s="263"/>
      <c r="Q1095" s="263"/>
      <c r="R1095" s="263"/>
      <c r="S1095" s="263"/>
      <c r="T1095" s="263"/>
      <c r="U1095" s="263"/>
      <c r="W1095" s="263"/>
    </row>
    <row r="1096" spans="7:23" x14ac:dyDescent="0.25">
      <c r="G1096" s="263"/>
      <c r="H1096" s="263"/>
      <c r="I1096" s="263"/>
      <c r="J1096" s="263"/>
      <c r="K1096" s="263"/>
      <c r="L1096" s="263"/>
      <c r="M1096" s="263"/>
      <c r="N1096" s="263"/>
      <c r="O1096" s="263"/>
      <c r="P1096" s="263"/>
      <c r="Q1096" s="263"/>
      <c r="R1096" s="263"/>
      <c r="S1096" s="263"/>
      <c r="T1096" s="263"/>
      <c r="U1096" s="263"/>
      <c r="W1096" s="263"/>
    </row>
    <row r="1097" spans="7:23" x14ac:dyDescent="0.25">
      <c r="G1097" s="263"/>
      <c r="H1097" s="263"/>
      <c r="I1097" s="263"/>
      <c r="J1097" s="263"/>
      <c r="K1097" s="263"/>
      <c r="L1097" s="263"/>
      <c r="M1097" s="263"/>
      <c r="N1097" s="263"/>
      <c r="O1097" s="263"/>
      <c r="P1097" s="263"/>
      <c r="Q1097" s="263"/>
      <c r="R1097" s="263"/>
      <c r="S1097" s="263"/>
      <c r="T1097" s="263"/>
      <c r="U1097" s="263"/>
      <c r="W1097" s="263"/>
    </row>
    <row r="1098" spans="7:23" x14ac:dyDescent="0.25">
      <c r="G1098" s="263"/>
      <c r="H1098" s="263"/>
      <c r="I1098" s="263"/>
      <c r="J1098" s="263"/>
      <c r="K1098" s="263"/>
      <c r="L1098" s="263"/>
      <c r="M1098" s="263"/>
      <c r="N1098" s="263"/>
      <c r="O1098" s="263"/>
      <c r="P1098" s="263"/>
      <c r="Q1098" s="263"/>
      <c r="R1098" s="263"/>
      <c r="S1098" s="263"/>
      <c r="T1098" s="263"/>
      <c r="U1098" s="263"/>
    </row>
    <row r="1100" spans="7:23" x14ac:dyDescent="0.25">
      <c r="W1100" s="263"/>
    </row>
    <row r="1101" spans="7:23" x14ac:dyDescent="0.25">
      <c r="G1101" s="263"/>
      <c r="H1101" s="263"/>
      <c r="I1101" s="263"/>
      <c r="J1101" s="263"/>
      <c r="K1101" s="263"/>
      <c r="L1101" s="263"/>
      <c r="M1101" s="263"/>
      <c r="N1101" s="263"/>
      <c r="O1101" s="263"/>
      <c r="P1101" s="263"/>
      <c r="Q1101" s="263"/>
      <c r="R1101" s="263"/>
      <c r="S1101" s="263"/>
      <c r="T1101" s="263"/>
      <c r="U1101" s="263"/>
      <c r="W1101" s="263"/>
    </row>
    <row r="1102" spans="7:23" x14ac:dyDescent="0.25">
      <c r="G1102" s="263"/>
      <c r="H1102" s="263"/>
      <c r="I1102" s="263"/>
      <c r="J1102" s="263"/>
      <c r="K1102" s="263"/>
      <c r="L1102" s="263"/>
      <c r="M1102" s="263"/>
      <c r="N1102" s="263"/>
      <c r="O1102" s="263"/>
      <c r="P1102" s="263"/>
      <c r="Q1102" s="263"/>
      <c r="R1102" s="263"/>
      <c r="S1102" s="263"/>
      <c r="T1102" s="263"/>
      <c r="U1102" s="263"/>
    </row>
    <row r="1104" spans="7:23" x14ac:dyDescent="0.25">
      <c r="W1104" s="263"/>
    </row>
    <row r="1105" spans="7:23" x14ac:dyDescent="0.25">
      <c r="G1105" s="263"/>
      <c r="H1105" s="263"/>
      <c r="I1105" s="263"/>
      <c r="J1105" s="263"/>
      <c r="K1105" s="263"/>
      <c r="L1105" s="263"/>
      <c r="M1105" s="263"/>
      <c r="N1105" s="263"/>
      <c r="O1105" s="263"/>
      <c r="P1105" s="263"/>
      <c r="Q1105" s="263"/>
      <c r="R1105" s="263"/>
      <c r="S1105" s="263"/>
      <c r="T1105" s="263"/>
      <c r="U1105" s="263"/>
      <c r="W1105" s="263"/>
    </row>
    <row r="1106" spans="7:23" x14ac:dyDescent="0.25">
      <c r="G1106" s="263"/>
      <c r="H1106" s="263"/>
      <c r="I1106" s="263"/>
      <c r="J1106" s="263"/>
      <c r="K1106" s="263"/>
      <c r="L1106" s="263"/>
      <c r="M1106" s="263"/>
      <c r="N1106" s="263"/>
      <c r="O1106" s="263"/>
      <c r="P1106" s="263"/>
      <c r="Q1106" s="263"/>
      <c r="R1106" s="263"/>
      <c r="S1106" s="263"/>
      <c r="T1106" s="263"/>
      <c r="U1106" s="263"/>
    </row>
    <row r="1108" spans="7:23" x14ac:dyDescent="0.25">
      <c r="W1108" s="263"/>
    </row>
    <row r="1109" spans="7:23" x14ac:dyDescent="0.25">
      <c r="G1109" s="263"/>
      <c r="H1109" s="263"/>
      <c r="I1109" s="263"/>
      <c r="J1109" s="263"/>
      <c r="K1109" s="263"/>
      <c r="L1109" s="263"/>
      <c r="M1109" s="263"/>
      <c r="N1109" s="263"/>
      <c r="O1109" s="263"/>
      <c r="P1109" s="263"/>
      <c r="Q1109" s="263"/>
      <c r="R1109" s="263"/>
      <c r="S1109" s="263"/>
      <c r="T1109" s="263"/>
      <c r="U1109" s="263"/>
      <c r="W1109" s="263"/>
    </row>
    <row r="1110" spans="7:23" x14ac:dyDescent="0.25">
      <c r="G1110" s="263"/>
      <c r="H1110" s="263"/>
      <c r="I1110" s="263"/>
      <c r="J1110" s="263"/>
      <c r="K1110" s="263"/>
      <c r="L1110" s="263"/>
      <c r="M1110" s="263"/>
      <c r="N1110" s="263"/>
      <c r="O1110" s="263"/>
      <c r="P1110" s="263"/>
      <c r="Q1110" s="263"/>
      <c r="R1110" s="263"/>
      <c r="S1110" s="263"/>
      <c r="T1110" s="263"/>
      <c r="U1110" s="263"/>
    </row>
    <row r="1112" spans="7:23" x14ac:dyDescent="0.25">
      <c r="W1112" s="263"/>
    </row>
    <row r="1113" spans="7:23" x14ac:dyDescent="0.25">
      <c r="G1113" s="263"/>
      <c r="H1113" s="263"/>
      <c r="I1113" s="263"/>
      <c r="J1113" s="263"/>
      <c r="K1113" s="263"/>
      <c r="L1113" s="263"/>
      <c r="M1113" s="263"/>
      <c r="N1113" s="263"/>
      <c r="O1113" s="263"/>
      <c r="P1113" s="263"/>
      <c r="Q1113" s="263"/>
      <c r="R1113" s="263"/>
      <c r="S1113" s="263"/>
      <c r="T1113" s="263"/>
      <c r="U1113" s="263"/>
      <c r="W1113" s="263"/>
    </row>
    <row r="1114" spans="7:23" x14ac:dyDescent="0.25">
      <c r="G1114" s="263"/>
      <c r="H1114" s="263"/>
      <c r="I1114" s="263"/>
      <c r="J1114" s="263"/>
      <c r="K1114" s="263"/>
      <c r="L1114" s="263"/>
      <c r="M1114" s="263"/>
      <c r="N1114" s="263"/>
      <c r="O1114" s="263"/>
      <c r="P1114" s="263"/>
      <c r="Q1114" s="263"/>
      <c r="R1114" s="263"/>
      <c r="S1114" s="263"/>
      <c r="T1114" s="263"/>
      <c r="U1114" s="263"/>
      <c r="W1114" s="263"/>
    </row>
    <row r="1115" spans="7:23" x14ac:dyDescent="0.25">
      <c r="G1115" s="263"/>
      <c r="H1115" s="263"/>
      <c r="I1115" s="263"/>
      <c r="J1115" s="263"/>
      <c r="K1115" s="263"/>
      <c r="L1115" s="263"/>
      <c r="M1115" s="263"/>
      <c r="N1115" s="263"/>
      <c r="O1115" s="263"/>
      <c r="P1115" s="263"/>
      <c r="Q1115" s="263"/>
      <c r="R1115" s="263"/>
      <c r="S1115" s="263"/>
      <c r="T1115" s="263"/>
      <c r="U1115" s="263"/>
      <c r="W1115" s="263"/>
    </row>
    <row r="1116" spans="7:23" x14ac:dyDescent="0.25">
      <c r="G1116" s="263"/>
      <c r="H1116" s="263"/>
      <c r="I1116" s="263"/>
      <c r="J1116" s="263"/>
      <c r="K1116" s="263"/>
      <c r="L1116" s="263"/>
      <c r="M1116" s="263"/>
      <c r="N1116" s="263"/>
      <c r="O1116" s="263"/>
      <c r="P1116" s="263"/>
      <c r="Q1116" s="263"/>
      <c r="R1116" s="263"/>
      <c r="S1116" s="263"/>
      <c r="T1116" s="263"/>
      <c r="U1116" s="263"/>
      <c r="W1116" s="263"/>
    </row>
    <row r="1117" spans="7:23" x14ac:dyDescent="0.25">
      <c r="G1117" s="263"/>
      <c r="H1117" s="263"/>
      <c r="I1117" s="263"/>
      <c r="J1117" s="263"/>
      <c r="K1117" s="263"/>
      <c r="L1117" s="263"/>
      <c r="M1117" s="263"/>
      <c r="N1117" s="263"/>
      <c r="O1117" s="263"/>
      <c r="P1117" s="263"/>
      <c r="Q1117" s="263"/>
      <c r="R1117" s="263"/>
      <c r="S1117" s="263"/>
      <c r="T1117" s="263"/>
      <c r="U1117" s="263"/>
      <c r="W1117" s="263"/>
    </row>
    <row r="1118" spans="7:23" x14ac:dyDescent="0.25">
      <c r="G1118" s="263"/>
      <c r="H1118" s="263"/>
      <c r="I1118" s="263"/>
      <c r="J1118" s="263"/>
      <c r="K1118" s="263"/>
      <c r="L1118" s="263"/>
      <c r="M1118" s="263"/>
      <c r="N1118" s="263"/>
      <c r="O1118" s="263"/>
      <c r="P1118" s="263"/>
      <c r="Q1118" s="263"/>
      <c r="R1118" s="263"/>
      <c r="S1118" s="263"/>
      <c r="T1118" s="263"/>
      <c r="U1118" s="263"/>
      <c r="W1118" s="263"/>
    </row>
    <row r="1119" spans="7:23" x14ac:dyDescent="0.25">
      <c r="G1119" s="263"/>
      <c r="H1119" s="263"/>
      <c r="I1119" s="263"/>
      <c r="J1119" s="263"/>
      <c r="K1119" s="263"/>
      <c r="L1119" s="263"/>
      <c r="M1119" s="263"/>
      <c r="N1119" s="263"/>
      <c r="O1119" s="263"/>
      <c r="P1119" s="263"/>
      <c r="Q1119" s="263"/>
      <c r="R1119" s="263"/>
      <c r="S1119" s="263"/>
      <c r="T1119" s="263"/>
      <c r="U1119" s="263"/>
      <c r="W1119" s="263"/>
    </row>
    <row r="1120" spans="7:23" x14ac:dyDescent="0.25">
      <c r="G1120" s="263"/>
      <c r="H1120" s="263"/>
      <c r="I1120" s="263"/>
      <c r="J1120" s="263"/>
      <c r="K1120" s="263"/>
      <c r="L1120" s="263"/>
      <c r="M1120" s="263"/>
      <c r="N1120" s="263"/>
      <c r="O1120" s="263"/>
      <c r="P1120" s="263"/>
      <c r="Q1120" s="263"/>
      <c r="R1120" s="263"/>
      <c r="S1120" s="263"/>
      <c r="T1120" s="263"/>
      <c r="U1120" s="263"/>
    </row>
    <row r="1124" spans="7:23" x14ac:dyDescent="0.25">
      <c r="W1124" s="263"/>
    </row>
    <row r="1125" spans="7:23" x14ac:dyDescent="0.25">
      <c r="G1125" s="263"/>
      <c r="H1125" s="263"/>
      <c r="I1125" s="263"/>
      <c r="J1125" s="263"/>
      <c r="K1125" s="263"/>
      <c r="L1125" s="263"/>
      <c r="M1125" s="263"/>
      <c r="N1125" s="263"/>
      <c r="O1125" s="263"/>
      <c r="P1125" s="263"/>
      <c r="Q1125" s="263"/>
      <c r="R1125" s="263"/>
      <c r="S1125" s="263"/>
      <c r="T1125" s="263"/>
      <c r="U1125" s="263"/>
      <c r="W1125" s="263"/>
    </row>
    <row r="1126" spans="7:23" x14ac:dyDescent="0.25"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3"/>
      <c r="Q1126" s="263"/>
      <c r="R1126" s="263"/>
      <c r="S1126" s="263"/>
      <c r="T1126" s="263"/>
      <c r="U1126" s="263"/>
      <c r="W1126" s="263"/>
    </row>
    <row r="1127" spans="7:23" x14ac:dyDescent="0.25">
      <c r="G1127" s="263"/>
      <c r="H1127" s="263"/>
      <c r="I1127" s="263"/>
      <c r="J1127" s="263"/>
      <c r="K1127" s="263"/>
      <c r="L1127" s="263"/>
      <c r="M1127" s="263"/>
      <c r="N1127" s="263"/>
      <c r="O1127" s="263"/>
      <c r="P1127" s="263"/>
      <c r="Q1127" s="263"/>
      <c r="R1127" s="263"/>
      <c r="S1127" s="263"/>
      <c r="T1127" s="263"/>
      <c r="U1127" s="263"/>
      <c r="W1127" s="263"/>
    </row>
    <row r="1128" spans="7:23" x14ac:dyDescent="0.25">
      <c r="G1128" s="263"/>
      <c r="H1128" s="263"/>
      <c r="I1128" s="263"/>
      <c r="J1128" s="263"/>
      <c r="K1128" s="263"/>
      <c r="L1128" s="263"/>
      <c r="M1128" s="263"/>
      <c r="N1128" s="263"/>
      <c r="O1128" s="263"/>
      <c r="P1128" s="263"/>
      <c r="Q1128" s="263"/>
      <c r="R1128" s="263"/>
      <c r="S1128" s="263"/>
      <c r="T1128" s="263"/>
      <c r="U1128" s="263"/>
      <c r="W1128" s="263"/>
    </row>
    <row r="1129" spans="7:23" x14ac:dyDescent="0.25">
      <c r="G1129" s="263"/>
      <c r="H1129" s="263"/>
      <c r="I1129" s="263"/>
      <c r="J1129" s="263"/>
      <c r="K1129" s="263"/>
      <c r="L1129" s="263"/>
      <c r="M1129" s="263"/>
      <c r="N1129" s="263"/>
      <c r="O1129" s="263"/>
      <c r="P1129" s="263"/>
      <c r="Q1129" s="263"/>
      <c r="R1129" s="263"/>
      <c r="S1129" s="263"/>
      <c r="T1129" s="263"/>
      <c r="U1129" s="263"/>
      <c r="W1129" s="263"/>
    </row>
    <row r="1130" spans="7:23" x14ac:dyDescent="0.25">
      <c r="G1130" s="263"/>
      <c r="H1130" s="263"/>
      <c r="I1130" s="263"/>
      <c r="J1130" s="263"/>
      <c r="K1130" s="263"/>
      <c r="L1130" s="263"/>
      <c r="M1130" s="263"/>
      <c r="N1130" s="263"/>
      <c r="O1130" s="263"/>
      <c r="P1130" s="263"/>
      <c r="Q1130" s="263"/>
      <c r="R1130" s="263"/>
      <c r="S1130" s="263"/>
      <c r="T1130" s="263"/>
      <c r="U1130" s="263"/>
      <c r="W1130" s="263"/>
    </row>
    <row r="1131" spans="7:23" x14ac:dyDescent="0.25">
      <c r="G1131" s="263"/>
      <c r="H1131" s="263"/>
      <c r="I1131" s="263"/>
      <c r="J1131" s="263"/>
      <c r="K1131" s="263"/>
      <c r="L1131" s="263"/>
      <c r="M1131" s="263"/>
      <c r="N1131" s="263"/>
      <c r="O1131" s="263"/>
      <c r="P1131" s="263"/>
      <c r="Q1131" s="263"/>
      <c r="R1131" s="263"/>
      <c r="S1131" s="263"/>
      <c r="T1131" s="263"/>
      <c r="U1131" s="263"/>
      <c r="W1131" s="263"/>
    </row>
    <row r="1132" spans="7:23" x14ac:dyDescent="0.25">
      <c r="G1132" s="263"/>
      <c r="H1132" s="263"/>
      <c r="I1132" s="263"/>
      <c r="J1132" s="263"/>
      <c r="K1132" s="263"/>
      <c r="L1132" s="263"/>
      <c r="M1132" s="263"/>
      <c r="N1132" s="263"/>
      <c r="O1132" s="263"/>
      <c r="P1132" s="263"/>
      <c r="Q1132" s="263"/>
      <c r="R1132" s="263"/>
      <c r="S1132" s="263"/>
      <c r="T1132" s="263"/>
      <c r="U1132" s="263"/>
    </row>
    <row r="1134" spans="7:23" x14ac:dyDescent="0.25">
      <c r="W1134" s="263"/>
    </row>
    <row r="1135" spans="7:23" x14ac:dyDescent="0.25">
      <c r="G1135" s="263"/>
      <c r="H1135" s="263"/>
      <c r="I1135" s="263"/>
      <c r="J1135" s="263"/>
      <c r="K1135" s="263"/>
      <c r="L1135" s="263"/>
      <c r="M1135" s="263"/>
      <c r="N1135" s="263"/>
      <c r="O1135" s="263"/>
      <c r="P1135" s="263"/>
      <c r="Q1135" s="263"/>
      <c r="R1135" s="263"/>
      <c r="S1135" s="263"/>
      <c r="T1135" s="263"/>
      <c r="U1135" s="263"/>
    </row>
    <row r="1137" spans="7:23" x14ac:dyDescent="0.25">
      <c r="W1137" s="263"/>
    </row>
    <row r="1138" spans="7:23" x14ac:dyDescent="0.25">
      <c r="G1138" s="263"/>
      <c r="H1138" s="263"/>
      <c r="I1138" s="263"/>
      <c r="J1138" s="263"/>
      <c r="K1138" s="263"/>
      <c r="L1138" s="263"/>
      <c r="M1138" s="263"/>
      <c r="N1138" s="263"/>
      <c r="O1138" s="263"/>
      <c r="P1138" s="263"/>
      <c r="Q1138" s="263"/>
      <c r="R1138" s="263"/>
      <c r="S1138" s="263"/>
      <c r="T1138" s="263"/>
      <c r="U1138" s="263"/>
      <c r="W1138" s="263"/>
    </row>
    <row r="1139" spans="7:23" x14ac:dyDescent="0.25">
      <c r="G1139" s="263"/>
      <c r="H1139" s="263"/>
      <c r="I1139" s="263"/>
      <c r="J1139" s="263"/>
      <c r="K1139" s="263"/>
      <c r="L1139" s="263"/>
      <c r="M1139" s="263"/>
      <c r="N1139" s="263"/>
      <c r="O1139" s="263"/>
      <c r="P1139" s="263"/>
      <c r="Q1139" s="263"/>
      <c r="R1139" s="263"/>
      <c r="S1139" s="263"/>
      <c r="T1139" s="263"/>
      <c r="U1139" s="263"/>
      <c r="W1139" s="263"/>
    </row>
    <row r="1140" spans="7:23" x14ac:dyDescent="0.25">
      <c r="G1140" s="263"/>
      <c r="H1140" s="263"/>
      <c r="I1140" s="263"/>
      <c r="J1140" s="263"/>
      <c r="K1140" s="263"/>
      <c r="L1140" s="263"/>
      <c r="M1140" s="263"/>
      <c r="N1140" s="263"/>
      <c r="O1140" s="263"/>
      <c r="P1140" s="263"/>
      <c r="Q1140" s="263"/>
      <c r="R1140" s="263"/>
      <c r="S1140" s="263"/>
      <c r="T1140" s="263"/>
      <c r="U1140" s="263"/>
    </row>
    <row r="1142" spans="7:23" x14ac:dyDescent="0.25">
      <c r="W1142" s="263"/>
    </row>
    <row r="1143" spans="7:23" x14ac:dyDescent="0.25">
      <c r="G1143" s="263"/>
      <c r="H1143" s="263"/>
      <c r="I1143" s="263"/>
      <c r="J1143" s="263"/>
      <c r="K1143" s="263"/>
      <c r="L1143" s="263"/>
      <c r="M1143" s="263"/>
      <c r="N1143" s="263"/>
      <c r="O1143" s="263"/>
      <c r="P1143" s="263"/>
      <c r="Q1143" s="263"/>
      <c r="R1143" s="263"/>
      <c r="S1143" s="263"/>
      <c r="T1143" s="263"/>
      <c r="U1143" s="263"/>
    </row>
    <row r="1145" spans="7:23" x14ac:dyDescent="0.25">
      <c r="W1145" s="263"/>
    </row>
    <row r="1146" spans="7:23" x14ac:dyDescent="0.25">
      <c r="G1146" s="263"/>
      <c r="H1146" s="263"/>
      <c r="I1146" s="263"/>
      <c r="J1146" s="263"/>
      <c r="K1146" s="263"/>
      <c r="L1146" s="263"/>
      <c r="M1146" s="263"/>
      <c r="N1146" s="263"/>
      <c r="O1146" s="263"/>
      <c r="P1146" s="263"/>
      <c r="Q1146" s="263"/>
      <c r="R1146" s="263"/>
      <c r="S1146" s="263"/>
      <c r="T1146" s="263"/>
      <c r="U1146" s="263"/>
    </row>
    <row r="1148" spans="7:23" x14ac:dyDescent="0.25">
      <c r="W1148" s="263"/>
    </row>
    <row r="1149" spans="7:23" x14ac:dyDescent="0.25">
      <c r="G1149" s="263"/>
      <c r="H1149" s="263"/>
      <c r="I1149" s="263"/>
      <c r="J1149" s="263"/>
      <c r="K1149" s="263"/>
      <c r="L1149" s="263"/>
      <c r="M1149" s="263"/>
      <c r="N1149" s="263"/>
      <c r="O1149" s="263"/>
      <c r="P1149" s="263"/>
      <c r="Q1149" s="263"/>
      <c r="R1149" s="263"/>
      <c r="S1149" s="263"/>
      <c r="T1149" s="263"/>
      <c r="U1149" s="263"/>
    </row>
    <row r="1151" spans="7:23" x14ac:dyDescent="0.25">
      <c r="W1151" s="263"/>
    </row>
    <row r="1152" spans="7:23" x14ac:dyDescent="0.25">
      <c r="G1152" s="263"/>
      <c r="H1152" s="263"/>
      <c r="I1152" s="263"/>
      <c r="J1152" s="263"/>
      <c r="K1152" s="263"/>
      <c r="L1152" s="263"/>
      <c r="M1152" s="263"/>
      <c r="N1152" s="263"/>
      <c r="O1152" s="263"/>
      <c r="P1152" s="263"/>
      <c r="Q1152" s="263"/>
      <c r="R1152" s="263"/>
      <c r="S1152" s="263"/>
      <c r="T1152" s="263"/>
      <c r="U1152" s="263"/>
      <c r="W1152" s="263"/>
    </row>
    <row r="1153" spans="7:23" x14ac:dyDescent="0.25">
      <c r="G1153" s="263"/>
      <c r="H1153" s="263"/>
      <c r="I1153" s="263"/>
      <c r="J1153" s="263"/>
      <c r="K1153" s="263"/>
      <c r="L1153" s="263"/>
      <c r="M1153" s="263"/>
      <c r="N1153" s="263"/>
      <c r="O1153" s="263"/>
      <c r="P1153" s="263"/>
      <c r="Q1153" s="263"/>
      <c r="R1153" s="263"/>
      <c r="S1153" s="263"/>
      <c r="T1153" s="263"/>
      <c r="U1153" s="263"/>
      <c r="W1153" s="263"/>
    </row>
    <row r="1154" spans="7:23" x14ac:dyDescent="0.25">
      <c r="G1154" s="263"/>
      <c r="H1154" s="263"/>
      <c r="I1154" s="263"/>
      <c r="J1154" s="263"/>
      <c r="K1154" s="263"/>
      <c r="L1154" s="263"/>
      <c r="M1154" s="263"/>
      <c r="N1154" s="263"/>
      <c r="O1154" s="263"/>
      <c r="P1154" s="263"/>
      <c r="Q1154" s="263"/>
      <c r="R1154" s="263"/>
      <c r="S1154" s="263"/>
      <c r="T1154" s="263"/>
      <c r="U1154" s="263"/>
      <c r="W1154" s="263"/>
    </row>
    <row r="1155" spans="7:23" x14ac:dyDescent="0.25">
      <c r="G1155" s="263"/>
      <c r="H1155" s="263"/>
      <c r="I1155" s="263"/>
      <c r="J1155" s="263"/>
      <c r="K1155" s="263"/>
      <c r="L1155" s="263"/>
      <c r="M1155" s="263"/>
      <c r="N1155" s="263"/>
      <c r="O1155" s="263"/>
      <c r="P1155" s="263"/>
      <c r="Q1155" s="263"/>
      <c r="R1155" s="263"/>
      <c r="S1155" s="263"/>
      <c r="T1155" s="263"/>
      <c r="U1155" s="263"/>
      <c r="W1155" s="263"/>
    </row>
    <row r="1156" spans="7:23" x14ac:dyDescent="0.25">
      <c r="G1156" s="263"/>
      <c r="H1156" s="263"/>
      <c r="I1156" s="263"/>
      <c r="J1156" s="263"/>
      <c r="K1156" s="263"/>
      <c r="L1156" s="263"/>
      <c r="M1156" s="263"/>
      <c r="N1156" s="263"/>
      <c r="O1156" s="263"/>
      <c r="P1156" s="263"/>
      <c r="Q1156" s="263"/>
      <c r="R1156" s="263"/>
      <c r="S1156" s="263"/>
      <c r="T1156" s="263"/>
      <c r="U1156" s="263"/>
    </row>
    <row r="1158" spans="7:23" x14ac:dyDescent="0.25">
      <c r="W1158" s="263"/>
    </row>
    <row r="1159" spans="7:23" x14ac:dyDescent="0.25">
      <c r="G1159" s="263"/>
      <c r="H1159" s="263"/>
      <c r="I1159" s="263"/>
      <c r="J1159" s="263"/>
      <c r="K1159" s="263"/>
      <c r="L1159" s="263"/>
      <c r="M1159" s="263"/>
      <c r="N1159" s="263"/>
      <c r="O1159" s="263"/>
      <c r="P1159" s="263"/>
      <c r="Q1159" s="263"/>
      <c r="R1159" s="263"/>
      <c r="S1159" s="263"/>
      <c r="T1159" s="263"/>
      <c r="U1159" s="263"/>
      <c r="W1159" s="263"/>
    </row>
    <row r="1160" spans="7:23" x14ac:dyDescent="0.25">
      <c r="G1160" s="263"/>
      <c r="H1160" s="263"/>
      <c r="I1160" s="263"/>
      <c r="J1160" s="263"/>
      <c r="K1160" s="263"/>
      <c r="L1160" s="263"/>
      <c r="M1160" s="263"/>
      <c r="N1160" s="263"/>
      <c r="O1160" s="263"/>
      <c r="P1160" s="263"/>
      <c r="Q1160" s="263"/>
      <c r="R1160" s="263"/>
      <c r="S1160" s="263"/>
      <c r="T1160" s="263"/>
      <c r="U1160" s="263"/>
      <c r="W1160" s="263"/>
    </row>
    <row r="1161" spans="7:23" x14ac:dyDescent="0.25">
      <c r="G1161" s="263"/>
      <c r="H1161" s="263"/>
      <c r="I1161" s="263"/>
      <c r="J1161" s="263"/>
      <c r="K1161" s="263"/>
      <c r="L1161" s="263"/>
      <c r="M1161" s="263"/>
      <c r="N1161" s="263"/>
      <c r="O1161" s="263"/>
      <c r="P1161" s="263"/>
      <c r="Q1161" s="263"/>
      <c r="R1161" s="263"/>
      <c r="S1161" s="263"/>
      <c r="T1161" s="263"/>
      <c r="U1161" s="263"/>
      <c r="W1161" s="263"/>
    </row>
    <row r="1162" spans="7:23" x14ac:dyDescent="0.25">
      <c r="G1162" s="263"/>
      <c r="H1162" s="263"/>
      <c r="I1162" s="263"/>
      <c r="J1162" s="263"/>
      <c r="K1162" s="263"/>
      <c r="L1162" s="263"/>
      <c r="M1162" s="263"/>
      <c r="N1162" s="263"/>
      <c r="O1162" s="263"/>
      <c r="P1162" s="263"/>
      <c r="Q1162" s="263"/>
      <c r="R1162" s="263"/>
      <c r="S1162" s="263"/>
      <c r="T1162" s="263"/>
      <c r="U1162" s="263"/>
      <c r="W1162" s="263"/>
    </row>
    <row r="1163" spans="7:23" x14ac:dyDescent="0.25">
      <c r="G1163" s="263"/>
      <c r="H1163" s="263"/>
      <c r="I1163" s="263"/>
      <c r="J1163" s="263"/>
      <c r="K1163" s="263"/>
      <c r="L1163" s="263"/>
      <c r="M1163" s="263"/>
      <c r="N1163" s="263"/>
      <c r="O1163" s="263"/>
      <c r="P1163" s="263"/>
      <c r="Q1163" s="263"/>
      <c r="R1163" s="263"/>
      <c r="S1163" s="263"/>
      <c r="T1163" s="263"/>
      <c r="U1163" s="263"/>
      <c r="W1163" s="263"/>
    </row>
    <row r="1164" spans="7:23" x14ac:dyDescent="0.25">
      <c r="G1164" s="263"/>
      <c r="H1164" s="263"/>
      <c r="I1164" s="263"/>
      <c r="J1164" s="263"/>
      <c r="K1164" s="263"/>
      <c r="L1164" s="263"/>
      <c r="M1164" s="263"/>
      <c r="N1164" s="263"/>
      <c r="O1164" s="263"/>
      <c r="P1164" s="263"/>
      <c r="Q1164" s="263"/>
      <c r="R1164" s="263"/>
      <c r="S1164" s="263"/>
      <c r="T1164" s="263"/>
      <c r="U1164" s="263"/>
    </row>
    <row r="1168" spans="7:23" x14ac:dyDescent="0.25">
      <c r="W1168" s="263"/>
    </row>
    <row r="1169" spans="7:23" x14ac:dyDescent="0.25">
      <c r="G1169" s="263"/>
      <c r="H1169" s="263"/>
      <c r="I1169" s="263"/>
      <c r="J1169" s="263"/>
      <c r="K1169" s="263"/>
      <c r="L1169" s="263"/>
      <c r="M1169" s="263"/>
      <c r="N1169" s="263"/>
      <c r="O1169" s="263"/>
      <c r="P1169" s="263"/>
      <c r="Q1169" s="263"/>
      <c r="R1169" s="263"/>
      <c r="S1169" s="263"/>
      <c r="T1169" s="263"/>
      <c r="U1169" s="263"/>
      <c r="W1169" s="263"/>
    </row>
    <row r="1170" spans="7:23" x14ac:dyDescent="0.25">
      <c r="G1170" s="263"/>
      <c r="H1170" s="263"/>
      <c r="I1170" s="263"/>
      <c r="J1170" s="263"/>
      <c r="K1170" s="263"/>
      <c r="L1170" s="263"/>
      <c r="M1170" s="263"/>
      <c r="N1170" s="263"/>
      <c r="O1170" s="263"/>
      <c r="P1170" s="263"/>
      <c r="Q1170" s="263"/>
      <c r="R1170" s="263"/>
      <c r="S1170" s="263"/>
      <c r="T1170" s="263"/>
      <c r="U1170" s="263"/>
      <c r="W1170" s="263"/>
    </row>
    <row r="1171" spans="7:23" x14ac:dyDescent="0.25"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3"/>
      <c r="Q1171" s="263"/>
      <c r="R1171" s="263"/>
      <c r="S1171" s="263"/>
      <c r="T1171" s="263"/>
      <c r="U1171" s="263"/>
      <c r="W1171" s="263"/>
    </row>
    <row r="1172" spans="7:23" x14ac:dyDescent="0.25">
      <c r="G1172" s="263"/>
      <c r="H1172" s="263"/>
      <c r="I1172" s="263"/>
      <c r="J1172" s="263"/>
      <c r="K1172" s="263"/>
      <c r="L1172" s="263"/>
      <c r="M1172" s="263"/>
      <c r="N1172" s="263"/>
      <c r="O1172" s="263"/>
      <c r="P1172" s="263"/>
      <c r="Q1172" s="263"/>
      <c r="R1172" s="263"/>
      <c r="S1172" s="263"/>
      <c r="T1172" s="263"/>
      <c r="U1172" s="263"/>
      <c r="W1172" s="263"/>
    </row>
    <row r="1173" spans="7:23" x14ac:dyDescent="0.25">
      <c r="G1173" s="263"/>
      <c r="H1173" s="263"/>
      <c r="I1173" s="263"/>
      <c r="J1173" s="263"/>
      <c r="K1173" s="263"/>
      <c r="L1173" s="263"/>
      <c r="M1173" s="263"/>
      <c r="N1173" s="263"/>
      <c r="O1173" s="263"/>
      <c r="P1173" s="263"/>
      <c r="Q1173" s="263"/>
      <c r="R1173" s="263"/>
      <c r="S1173" s="263"/>
      <c r="T1173" s="263"/>
      <c r="U1173" s="263"/>
    </row>
    <row r="1175" spans="7:23" x14ac:dyDescent="0.25">
      <c r="W1175" s="263"/>
    </row>
    <row r="1176" spans="7:23" x14ac:dyDescent="0.25">
      <c r="G1176" s="263"/>
      <c r="H1176" s="263"/>
      <c r="I1176" s="263"/>
      <c r="J1176" s="263"/>
      <c r="K1176" s="263"/>
      <c r="L1176" s="263"/>
      <c r="M1176" s="263"/>
      <c r="N1176" s="263"/>
      <c r="O1176" s="263"/>
      <c r="P1176" s="263"/>
      <c r="Q1176" s="263"/>
      <c r="R1176" s="263"/>
      <c r="S1176" s="263"/>
      <c r="T1176" s="263"/>
      <c r="U1176" s="263"/>
      <c r="W1176" s="263"/>
    </row>
    <row r="1177" spans="7:23" x14ac:dyDescent="0.25">
      <c r="G1177" s="263"/>
      <c r="H1177" s="263"/>
      <c r="I1177" s="263"/>
      <c r="J1177" s="263"/>
      <c r="K1177" s="263"/>
      <c r="L1177" s="263"/>
      <c r="M1177" s="263"/>
      <c r="N1177" s="263"/>
      <c r="O1177" s="263"/>
      <c r="P1177" s="263"/>
      <c r="Q1177" s="263"/>
      <c r="R1177" s="263"/>
      <c r="S1177" s="263"/>
      <c r="T1177" s="263"/>
      <c r="U1177" s="263"/>
      <c r="W1177" s="263"/>
    </row>
    <row r="1178" spans="7:23" x14ac:dyDescent="0.25">
      <c r="G1178" s="263"/>
      <c r="H1178" s="263"/>
      <c r="I1178" s="263"/>
      <c r="J1178" s="263"/>
      <c r="K1178" s="263"/>
      <c r="L1178" s="263"/>
      <c r="M1178" s="263"/>
      <c r="N1178" s="263"/>
      <c r="O1178" s="263"/>
      <c r="P1178" s="263"/>
      <c r="Q1178" s="263"/>
      <c r="R1178" s="263"/>
      <c r="S1178" s="263"/>
      <c r="T1178" s="263"/>
      <c r="U1178" s="263"/>
    </row>
    <row r="1180" spans="7:23" x14ac:dyDescent="0.25">
      <c r="W1180" s="263"/>
    </row>
    <row r="1181" spans="7:23" x14ac:dyDescent="0.25">
      <c r="G1181" s="263"/>
      <c r="H1181" s="263"/>
      <c r="I1181" s="263"/>
      <c r="J1181" s="263"/>
      <c r="K1181" s="263"/>
      <c r="L1181" s="263"/>
      <c r="M1181" s="263"/>
      <c r="N1181" s="263"/>
      <c r="O1181" s="263"/>
      <c r="P1181" s="263"/>
      <c r="Q1181" s="263"/>
      <c r="R1181" s="263"/>
      <c r="S1181" s="263"/>
      <c r="T1181" s="263"/>
      <c r="U1181" s="263"/>
      <c r="W1181" s="263"/>
    </row>
    <row r="1182" spans="7:23" x14ac:dyDescent="0.25">
      <c r="G1182" s="263"/>
      <c r="H1182" s="263"/>
      <c r="I1182" s="263"/>
      <c r="J1182" s="263"/>
      <c r="K1182" s="263"/>
      <c r="L1182" s="263"/>
      <c r="M1182" s="263"/>
      <c r="N1182" s="263"/>
      <c r="O1182" s="263"/>
      <c r="P1182" s="263"/>
      <c r="Q1182" s="263"/>
      <c r="R1182" s="263"/>
      <c r="S1182" s="263"/>
      <c r="T1182" s="263"/>
      <c r="U1182" s="263"/>
      <c r="W1182" s="263"/>
    </row>
    <row r="1183" spans="7:23" x14ac:dyDescent="0.25">
      <c r="G1183" s="263"/>
      <c r="H1183" s="263"/>
      <c r="I1183" s="263"/>
      <c r="J1183" s="263"/>
      <c r="K1183" s="263"/>
      <c r="L1183" s="263"/>
      <c r="M1183" s="263"/>
      <c r="N1183" s="263"/>
      <c r="O1183" s="263"/>
      <c r="P1183" s="263"/>
      <c r="Q1183" s="263"/>
      <c r="R1183" s="263"/>
      <c r="S1183" s="263"/>
      <c r="T1183" s="263"/>
      <c r="U1183" s="263"/>
    </row>
    <row r="1185" spans="7:23" x14ac:dyDescent="0.25">
      <c r="W1185" s="263"/>
    </row>
    <row r="1186" spans="7:23" x14ac:dyDescent="0.25">
      <c r="G1186" s="263"/>
      <c r="H1186" s="263"/>
      <c r="I1186" s="263"/>
      <c r="J1186" s="263"/>
      <c r="K1186" s="263"/>
      <c r="L1186" s="263"/>
      <c r="M1186" s="263"/>
      <c r="N1186" s="263"/>
      <c r="O1186" s="263"/>
      <c r="P1186" s="263"/>
      <c r="Q1186" s="263"/>
      <c r="R1186" s="263"/>
      <c r="S1186" s="263"/>
      <c r="T1186" s="263"/>
      <c r="U1186" s="263"/>
      <c r="W1186" s="263"/>
    </row>
    <row r="1187" spans="7:23" x14ac:dyDescent="0.25">
      <c r="G1187" s="263"/>
      <c r="H1187" s="263"/>
      <c r="I1187" s="263"/>
      <c r="J1187" s="263"/>
      <c r="K1187" s="263"/>
      <c r="L1187" s="263"/>
      <c r="M1187" s="263"/>
      <c r="N1187" s="263"/>
      <c r="O1187" s="263"/>
      <c r="P1187" s="263"/>
      <c r="Q1187" s="263"/>
      <c r="R1187" s="263"/>
      <c r="S1187" s="263"/>
      <c r="T1187" s="263"/>
      <c r="U1187" s="263"/>
      <c r="W1187" s="263"/>
    </row>
    <row r="1188" spans="7:23" x14ac:dyDescent="0.25">
      <c r="G1188" s="263"/>
      <c r="H1188" s="263"/>
      <c r="I1188" s="263"/>
      <c r="J1188" s="263"/>
      <c r="K1188" s="263"/>
      <c r="L1188" s="263"/>
      <c r="M1188" s="263"/>
      <c r="N1188" s="263"/>
      <c r="O1188" s="263"/>
      <c r="P1188" s="263"/>
      <c r="Q1188" s="263"/>
      <c r="R1188" s="263"/>
      <c r="S1188" s="263"/>
      <c r="T1188" s="263"/>
      <c r="U1188" s="263"/>
      <c r="W1188" s="263"/>
    </row>
    <row r="1189" spans="7:23" x14ac:dyDescent="0.25">
      <c r="G1189" s="263"/>
      <c r="H1189" s="263"/>
      <c r="I1189" s="263"/>
      <c r="J1189" s="263"/>
      <c r="K1189" s="263"/>
      <c r="L1189" s="263"/>
      <c r="M1189" s="263"/>
      <c r="N1189" s="263"/>
      <c r="O1189" s="263"/>
      <c r="P1189" s="263"/>
      <c r="Q1189" s="263"/>
      <c r="R1189" s="263"/>
      <c r="S1189" s="263"/>
      <c r="T1189" s="263"/>
      <c r="U1189" s="263"/>
      <c r="W1189" s="263"/>
    </row>
    <row r="1190" spans="7:23" x14ac:dyDescent="0.25">
      <c r="G1190" s="263"/>
      <c r="H1190" s="263"/>
      <c r="I1190" s="263"/>
      <c r="J1190" s="263"/>
      <c r="K1190" s="263"/>
      <c r="L1190" s="263"/>
      <c r="M1190" s="263"/>
      <c r="N1190" s="263"/>
      <c r="O1190" s="263"/>
      <c r="P1190" s="263"/>
      <c r="Q1190" s="263"/>
      <c r="R1190" s="263"/>
      <c r="S1190" s="263"/>
      <c r="T1190" s="263"/>
      <c r="U1190" s="263"/>
    </row>
    <row r="1194" spans="7:23" x14ac:dyDescent="0.25">
      <c r="W1194" s="263"/>
    </row>
    <row r="1195" spans="7:23" x14ac:dyDescent="0.25">
      <c r="G1195" s="263"/>
      <c r="H1195" s="263"/>
      <c r="I1195" s="263"/>
      <c r="J1195" s="263"/>
      <c r="K1195" s="263"/>
      <c r="L1195" s="263"/>
      <c r="M1195" s="263"/>
      <c r="N1195" s="263"/>
      <c r="O1195" s="263"/>
      <c r="P1195" s="263"/>
      <c r="Q1195" s="263"/>
      <c r="R1195" s="263"/>
      <c r="S1195" s="263"/>
      <c r="T1195" s="263"/>
      <c r="U1195" s="263"/>
      <c r="W1195" s="263"/>
    </row>
    <row r="1196" spans="7:23" x14ac:dyDescent="0.25">
      <c r="G1196" s="263"/>
      <c r="H1196" s="263"/>
      <c r="I1196" s="263"/>
      <c r="J1196" s="263"/>
      <c r="K1196" s="263"/>
      <c r="L1196" s="263"/>
      <c r="M1196" s="263"/>
      <c r="N1196" s="263"/>
      <c r="O1196" s="263"/>
      <c r="P1196" s="263"/>
      <c r="Q1196" s="263"/>
      <c r="R1196" s="263"/>
      <c r="S1196" s="263"/>
      <c r="T1196" s="263"/>
      <c r="U1196" s="263"/>
      <c r="W1196" s="263"/>
    </row>
    <row r="1197" spans="7:23" x14ac:dyDescent="0.25">
      <c r="G1197" s="263"/>
      <c r="H1197" s="263"/>
      <c r="I1197" s="263"/>
      <c r="J1197" s="263"/>
      <c r="K1197" s="263"/>
      <c r="L1197" s="263"/>
      <c r="M1197" s="263"/>
      <c r="N1197" s="263"/>
      <c r="O1197" s="263"/>
      <c r="P1197" s="263"/>
      <c r="Q1197" s="263"/>
      <c r="R1197" s="263"/>
      <c r="S1197" s="263"/>
      <c r="T1197" s="263"/>
      <c r="U1197" s="263"/>
      <c r="W1197" s="263"/>
    </row>
    <row r="1198" spans="7:23" x14ac:dyDescent="0.25">
      <c r="G1198" s="263"/>
      <c r="H1198" s="263"/>
      <c r="I1198" s="263"/>
      <c r="J1198" s="263"/>
      <c r="K1198" s="263"/>
      <c r="L1198" s="263"/>
      <c r="M1198" s="263"/>
      <c r="N1198" s="263"/>
      <c r="O1198" s="263"/>
      <c r="P1198" s="263"/>
      <c r="Q1198" s="263"/>
      <c r="R1198" s="263"/>
      <c r="S1198" s="263"/>
      <c r="T1198" s="263"/>
      <c r="U1198" s="263"/>
    </row>
    <row r="1200" spans="7:23" x14ac:dyDescent="0.25">
      <c r="W1200" s="263"/>
    </row>
    <row r="1201" spans="7:23" x14ac:dyDescent="0.25">
      <c r="G1201" s="263"/>
      <c r="H1201" s="263"/>
      <c r="I1201" s="263"/>
      <c r="J1201" s="263"/>
      <c r="K1201" s="263"/>
      <c r="L1201" s="263"/>
      <c r="M1201" s="263"/>
      <c r="N1201" s="263"/>
      <c r="O1201" s="263"/>
      <c r="P1201" s="263"/>
      <c r="Q1201" s="263"/>
      <c r="R1201" s="263"/>
      <c r="S1201" s="263"/>
      <c r="T1201" s="263"/>
      <c r="U1201" s="263"/>
      <c r="W1201" s="263"/>
    </row>
    <row r="1202" spans="7:23" x14ac:dyDescent="0.25">
      <c r="G1202" s="263"/>
      <c r="H1202" s="263"/>
      <c r="I1202" s="263"/>
      <c r="J1202" s="263"/>
      <c r="K1202" s="263"/>
      <c r="L1202" s="263"/>
      <c r="M1202" s="263"/>
      <c r="N1202" s="263"/>
      <c r="O1202" s="263"/>
      <c r="P1202" s="263"/>
      <c r="Q1202" s="263"/>
      <c r="R1202" s="263"/>
      <c r="S1202" s="263"/>
      <c r="T1202" s="263"/>
      <c r="U1202" s="263"/>
    </row>
    <row r="1204" spans="7:23" x14ac:dyDescent="0.25">
      <c r="W1204" s="263"/>
    </row>
    <row r="1205" spans="7:23" x14ac:dyDescent="0.25">
      <c r="G1205" s="263"/>
      <c r="H1205" s="263"/>
      <c r="I1205" s="263"/>
      <c r="J1205" s="263"/>
      <c r="K1205" s="263"/>
      <c r="L1205" s="263"/>
      <c r="M1205" s="263"/>
      <c r="N1205" s="263"/>
      <c r="O1205" s="263"/>
      <c r="P1205" s="263"/>
      <c r="Q1205" s="263"/>
      <c r="R1205" s="263"/>
      <c r="S1205" s="263"/>
      <c r="T1205" s="263"/>
      <c r="U1205" s="263"/>
      <c r="W1205" s="263"/>
    </row>
    <row r="1206" spans="7:23" x14ac:dyDescent="0.25">
      <c r="G1206" s="263"/>
      <c r="H1206" s="263"/>
      <c r="I1206" s="263"/>
      <c r="J1206" s="263"/>
      <c r="K1206" s="263"/>
      <c r="L1206" s="263"/>
      <c r="M1206" s="263"/>
      <c r="N1206" s="263"/>
      <c r="O1206" s="263"/>
      <c r="P1206" s="263"/>
      <c r="Q1206" s="263"/>
      <c r="R1206" s="263"/>
      <c r="S1206" s="263"/>
      <c r="T1206" s="263"/>
      <c r="U1206" s="263"/>
    </row>
    <row r="1208" spans="7:23" x14ac:dyDescent="0.25">
      <c r="W1208" s="263"/>
    </row>
    <row r="1209" spans="7:23" x14ac:dyDescent="0.25">
      <c r="G1209" s="263"/>
      <c r="H1209" s="263"/>
      <c r="I1209" s="263"/>
      <c r="J1209" s="263"/>
      <c r="K1209" s="263"/>
      <c r="L1209" s="263"/>
      <c r="M1209" s="263"/>
      <c r="N1209" s="263"/>
      <c r="O1209" s="263"/>
      <c r="P1209" s="263"/>
      <c r="Q1209" s="263"/>
      <c r="R1209" s="263"/>
      <c r="S1209" s="263"/>
      <c r="T1209" s="263"/>
      <c r="U1209" s="263"/>
      <c r="W1209" s="263"/>
    </row>
    <row r="1210" spans="7:23" x14ac:dyDescent="0.25">
      <c r="G1210" s="263"/>
      <c r="H1210" s="263"/>
      <c r="I1210" s="263"/>
      <c r="J1210" s="263"/>
      <c r="K1210" s="263"/>
      <c r="L1210" s="263"/>
      <c r="M1210" s="263"/>
      <c r="N1210" s="263"/>
      <c r="O1210" s="263"/>
      <c r="P1210" s="263"/>
      <c r="Q1210" s="263"/>
      <c r="R1210" s="263"/>
      <c r="S1210" s="263"/>
      <c r="T1210" s="263"/>
      <c r="U1210" s="263"/>
      <c r="W1210" s="263"/>
    </row>
    <row r="1211" spans="7:23" x14ac:dyDescent="0.25"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3"/>
      <c r="Q1211" s="263"/>
      <c r="R1211" s="263"/>
      <c r="S1211" s="263"/>
      <c r="T1211" s="263"/>
      <c r="U1211" s="263"/>
      <c r="W1211" s="263"/>
    </row>
    <row r="1212" spans="7:23" x14ac:dyDescent="0.25">
      <c r="G1212" s="263"/>
      <c r="H1212" s="263"/>
      <c r="I1212" s="263"/>
      <c r="J1212" s="263"/>
      <c r="K1212" s="263"/>
      <c r="L1212" s="263"/>
      <c r="M1212" s="263"/>
      <c r="N1212" s="263"/>
      <c r="O1212" s="263"/>
      <c r="P1212" s="263"/>
      <c r="Q1212" s="263"/>
      <c r="R1212" s="263"/>
      <c r="S1212" s="263"/>
      <c r="T1212" s="263"/>
      <c r="U1212" s="263"/>
      <c r="W1212" s="263"/>
    </row>
    <row r="1213" spans="7:23" x14ac:dyDescent="0.25">
      <c r="G1213" s="263"/>
      <c r="H1213" s="263"/>
      <c r="I1213" s="263"/>
      <c r="J1213" s="263"/>
      <c r="K1213" s="263"/>
      <c r="L1213" s="263"/>
      <c r="M1213" s="263"/>
      <c r="N1213" s="263"/>
      <c r="O1213" s="263"/>
      <c r="P1213" s="263"/>
      <c r="Q1213" s="263"/>
      <c r="R1213" s="263"/>
      <c r="S1213" s="263"/>
      <c r="T1213" s="263"/>
      <c r="U1213" s="263"/>
      <c r="W1213" s="263"/>
    </row>
    <row r="1214" spans="7:23" x14ac:dyDescent="0.25">
      <c r="G1214" s="263"/>
      <c r="H1214" s="263"/>
      <c r="I1214" s="263"/>
      <c r="J1214" s="263"/>
      <c r="K1214" s="263"/>
      <c r="L1214" s="263"/>
      <c r="M1214" s="263"/>
      <c r="N1214" s="263"/>
      <c r="O1214" s="263"/>
      <c r="P1214" s="263"/>
      <c r="Q1214" s="263"/>
      <c r="R1214" s="263"/>
      <c r="S1214" s="263"/>
      <c r="T1214" s="263"/>
      <c r="U1214" s="263"/>
    </row>
    <row r="1218" spans="7:23" x14ac:dyDescent="0.25">
      <c r="W1218" s="263"/>
    </row>
    <row r="1219" spans="7:23" x14ac:dyDescent="0.25">
      <c r="G1219" s="263"/>
      <c r="H1219" s="263"/>
      <c r="I1219" s="263"/>
      <c r="J1219" s="263"/>
      <c r="K1219" s="263"/>
      <c r="L1219" s="263"/>
      <c r="M1219" s="263"/>
      <c r="N1219" s="263"/>
      <c r="O1219" s="263"/>
      <c r="P1219" s="263"/>
      <c r="Q1219" s="263"/>
      <c r="R1219" s="263"/>
      <c r="S1219" s="263"/>
      <c r="T1219" s="263"/>
      <c r="U1219" s="263"/>
      <c r="W1219" s="263"/>
    </row>
    <row r="1220" spans="7:23" x14ac:dyDescent="0.25">
      <c r="G1220" s="263"/>
      <c r="H1220" s="263"/>
      <c r="I1220" s="263"/>
      <c r="J1220" s="263"/>
      <c r="K1220" s="263"/>
      <c r="L1220" s="263"/>
      <c r="M1220" s="263"/>
      <c r="N1220" s="263"/>
      <c r="O1220" s="263"/>
      <c r="P1220" s="263"/>
      <c r="Q1220" s="263"/>
      <c r="R1220" s="263"/>
      <c r="S1220" s="263"/>
      <c r="T1220" s="263"/>
      <c r="U1220" s="263"/>
      <c r="W1220" s="263"/>
    </row>
    <row r="1221" spans="7:23" x14ac:dyDescent="0.25">
      <c r="G1221" s="263"/>
      <c r="H1221" s="263"/>
      <c r="I1221" s="263"/>
      <c r="J1221" s="263"/>
      <c r="K1221" s="263"/>
      <c r="L1221" s="263"/>
      <c r="M1221" s="263"/>
      <c r="N1221" s="263"/>
      <c r="O1221" s="263"/>
      <c r="P1221" s="263"/>
      <c r="Q1221" s="263"/>
      <c r="R1221" s="263"/>
      <c r="S1221" s="263"/>
      <c r="T1221" s="263"/>
      <c r="U1221" s="263"/>
      <c r="W1221" s="263"/>
    </row>
    <row r="1222" spans="7:23" x14ac:dyDescent="0.25">
      <c r="G1222" s="263"/>
      <c r="H1222" s="263"/>
      <c r="I1222" s="263"/>
      <c r="J1222" s="263"/>
      <c r="K1222" s="263"/>
      <c r="L1222" s="263"/>
      <c r="M1222" s="263"/>
      <c r="N1222" s="263"/>
      <c r="O1222" s="263"/>
      <c r="P1222" s="263"/>
      <c r="Q1222" s="263"/>
      <c r="R1222" s="263"/>
      <c r="S1222" s="263"/>
      <c r="T1222" s="263"/>
      <c r="U1222" s="263"/>
      <c r="W1222" s="263"/>
    </row>
    <row r="1223" spans="7:23" x14ac:dyDescent="0.25">
      <c r="G1223" s="263"/>
      <c r="H1223" s="263"/>
      <c r="I1223" s="263"/>
      <c r="J1223" s="263"/>
      <c r="K1223" s="263"/>
      <c r="L1223" s="263"/>
      <c r="M1223" s="263"/>
      <c r="N1223" s="263"/>
      <c r="O1223" s="263"/>
      <c r="P1223" s="263"/>
      <c r="Q1223" s="263"/>
      <c r="R1223" s="263"/>
      <c r="S1223" s="263"/>
      <c r="T1223" s="263"/>
      <c r="U1223" s="263"/>
      <c r="W1223" s="263"/>
    </row>
    <row r="1224" spans="7:23" x14ac:dyDescent="0.25">
      <c r="G1224" s="263"/>
      <c r="H1224" s="263"/>
      <c r="I1224" s="263"/>
      <c r="J1224" s="263"/>
      <c r="K1224" s="263"/>
      <c r="L1224" s="263"/>
      <c r="M1224" s="263"/>
      <c r="N1224" s="263"/>
      <c r="O1224" s="263"/>
      <c r="P1224" s="263"/>
      <c r="Q1224" s="263"/>
      <c r="R1224" s="263"/>
      <c r="S1224" s="263"/>
      <c r="T1224" s="263"/>
      <c r="U1224" s="263"/>
    </row>
    <row r="1226" spans="7:23" x14ac:dyDescent="0.25">
      <c r="W1226" s="263"/>
    </row>
    <row r="1227" spans="7:23" x14ac:dyDescent="0.25">
      <c r="G1227" s="263"/>
      <c r="H1227" s="263"/>
      <c r="I1227" s="263"/>
      <c r="J1227" s="263"/>
      <c r="K1227" s="263"/>
      <c r="L1227" s="263"/>
      <c r="M1227" s="263"/>
      <c r="N1227" s="263"/>
      <c r="O1227" s="263"/>
      <c r="P1227" s="263"/>
      <c r="Q1227" s="263"/>
      <c r="R1227" s="263"/>
      <c r="S1227" s="263"/>
      <c r="T1227" s="263"/>
      <c r="U1227" s="263"/>
      <c r="W1227" s="263"/>
    </row>
    <row r="1228" spans="7:23" x14ac:dyDescent="0.25">
      <c r="G1228" s="263"/>
      <c r="H1228" s="263"/>
      <c r="I1228" s="263"/>
      <c r="J1228" s="263"/>
      <c r="K1228" s="263"/>
      <c r="L1228" s="263"/>
      <c r="M1228" s="263"/>
      <c r="N1228" s="263"/>
      <c r="O1228" s="263"/>
      <c r="P1228" s="263"/>
      <c r="Q1228" s="263"/>
      <c r="R1228" s="263"/>
      <c r="S1228" s="263"/>
      <c r="T1228" s="263"/>
      <c r="U1228" s="263"/>
      <c r="W1228" s="263"/>
    </row>
    <row r="1229" spans="7:23" x14ac:dyDescent="0.25">
      <c r="G1229" s="263"/>
      <c r="H1229" s="263"/>
      <c r="I1229" s="263"/>
      <c r="J1229" s="263"/>
      <c r="K1229" s="263"/>
      <c r="L1229" s="263"/>
      <c r="M1229" s="263"/>
      <c r="N1229" s="263"/>
      <c r="O1229" s="263"/>
      <c r="P1229" s="263"/>
      <c r="Q1229" s="263"/>
      <c r="R1229" s="263"/>
      <c r="S1229" s="263"/>
      <c r="T1229" s="263"/>
      <c r="U1229" s="263"/>
    </row>
    <row r="1231" spans="7:23" x14ac:dyDescent="0.25">
      <c r="W1231" s="263"/>
    </row>
    <row r="1232" spans="7:23" x14ac:dyDescent="0.25">
      <c r="G1232" s="263"/>
      <c r="H1232" s="263"/>
      <c r="I1232" s="263"/>
      <c r="J1232" s="263"/>
      <c r="K1232" s="263"/>
      <c r="L1232" s="263"/>
      <c r="M1232" s="263"/>
      <c r="N1232" s="263"/>
      <c r="O1232" s="263"/>
      <c r="P1232" s="263"/>
      <c r="Q1232" s="263"/>
      <c r="R1232" s="263"/>
      <c r="S1232" s="263"/>
      <c r="T1232" s="263"/>
      <c r="U1232" s="263"/>
      <c r="W1232" s="263"/>
    </row>
    <row r="1233" spans="7:23" x14ac:dyDescent="0.25">
      <c r="G1233" s="263"/>
      <c r="H1233" s="263"/>
      <c r="I1233" s="263"/>
      <c r="J1233" s="263"/>
      <c r="K1233" s="263"/>
      <c r="L1233" s="263"/>
      <c r="M1233" s="263"/>
      <c r="N1233" s="263"/>
      <c r="O1233" s="263"/>
      <c r="P1233" s="263"/>
      <c r="Q1233" s="263"/>
      <c r="R1233" s="263"/>
      <c r="S1233" s="263"/>
      <c r="T1233" s="263"/>
      <c r="U1233" s="263"/>
      <c r="W1233" s="263"/>
    </row>
    <row r="1234" spans="7:23" x14ac:dyDescent="0.25">
      <c r="G1234" s="263"/>
      <c r="H1234" s="263"/>
      <c r="I1234" s="263"/>
      <c r="J1234" s="263"/>
      <c r="K1234" s="263"/>
      <c r="L1234" s="263"/>
      <c r="M1234" s="263"/>
      <c r="N1234" s="263"/>
      <c r="O1234" s="263"/>
      <c r="P1234" s="263"/>
      <c r="Q1234" s="263"/>
      <c r="R1234" s="263"/>
      <c r="S1234" s="263"/>
      <c r="T1234" s="263"/>
      <c r="U1234" s="263"/>
    </row>
    <row r="1236" spans="7:23" x14ac:dyDescent="0.25">
      <c r="W1236" s="263"/>
    </row>
    <row r="1237" spans="7:23" x14ac:dyDescent="0.25">
      <c r="G1237" s="263"/>
      <c r="H1237" s="263"/>
      <c r="I1237" s="263"/>
      <c r="J1237" s="263"/>
      <c r="K1237" s="263"/>
      <c r="L1237" s="263"/>
      <c r="M1237" s="263"/>
      <c r="N1237" s="263"/>
      <c r="O1237" s="263"/>
      <c r="P1237" s="263"/>
      <c r="Q1237" s="263"/>
      <c r="R1237" s="263"/>
      <c r="S1237" s="263"/>
      <c r="T1237" s="263"/>
      <c r="U1237" s="263"/>
      <c r="W1237" s="263"/>
    </row>
    <row r="1238" spans="7:23" x14ac:dyDescent="0.25">
      <c r="G1238" s="263"/>
      <c r="H1238" s="263"/>
      <c r="I1238" s="263"/>
      <c r="J1238" s="263"/>
      <c r="K1238" s="263"/>
      <c r="L1238" s="263"/>
      <c r="M1238" s="263"/>
      <c r="N1238" s="263"/>
      <c r="O1238" s="263"/>
      <c r="P1238" s="263"/>
      <c r="Q1238" s="263"/>
      <c r="R1238" s="263"/>
      <c r="S1238" s="263"/>
      <c r="T1238" s="263"/>
      <c r="U1238" s="263"/>
      <c r="W1238" s="263"/>
    </row>
    <row r="1239" spans="7:23" x14ac:dyDescent="0.25">
      <c r="G1239" s="263"/>
      <c r="H1239" s="263"/>
      <c r="I1239" s="263"/>
      <c r="J1239" s="263"/>
      <c r="K1239" s="263"/>
      <c r="L1239" s="263"/>
      <c r="M1239" s="263"/>
      <c r="N1239" s="263"/>
      <c r="O1239" s="263"/>
      <c r="P1239" s="263"/>
      <c r="Q1239" s="263"/>
      <c r="R1239" s="263"/>
      <c r="S1239" s="263"/>
      <c r="T1239" s="263"/>
      <c r="U1239" s="263"/>
      <c r="W1239" s="263"/>
    </row>
    <row r="1240" spans="7:23" x14ac:dyDescent="0.25">
      <c r="G1240" s="263"/>
      <c r="H1240" s="263"/>
      <c r="I1240" s="263"/>
      <c r="J1240" s="263"/>
      <c r="K1240" s="263"/>
      <c r="L1240" s="263"/>
      <c r="M1240" s="263"/>
      <c r="N1240" s="263"/>
      <c r="O1240" s="263"/>
      <c r="P1240" s="263"/>
      <c r="Q1240" s="263"/>
      <c r="R1240" s="263"/>
      <c r="S1240" s="263"/>
      <c r="T1240" s="263"/>
      <c r="U1240" s="263"/>
      <c r="W1240" s="263"/>
    </row>
    <row r="1241" spans="7:23" x14ac:dyDescent="0.25">
      <c r="G1241" s="263"/>
      <c r="H1241" s="263"/>
      <c r="I1241" s="263"/>
      <c r="J1241" s="263"/>
      <c r="K1241" s="263"/>
      <c r="L1241" s="263"/>
      <c r="M1241" s="263"/>
      <c r="N1241" s="263"/>
      <c r="O1241" s="263"/>
      <c r="P1241" s="263"/>
      <c r="Q1241" s="263"/>
      <c r="R1241" s="263"/>
      <c r="S1241" s="263"/>
      <c r="T1241" s="263"/>
      <c r="U1241" s="263"/>
      <c r="W1241" s="263"/>
    </row>
    <row r="1242" spans="7:23" x14ac:dyDescent="0.25">
      <c r="G1242" s="263"/>
      <c r="H1242" s="263"/>
      <c r="I1242" s="263"/>
      <c r="J1242" s="263"/>
      <c r="K1242" s="263"/>
      <c r="L1242" s="263"/>
      <c r="M1242" s="263"/>
      <c r="N1242" s="263"/>
      <c r="O1242" s="263"/>
      <c r="P1242" s="263"/>
      <c r="Q1242" s="263"/>
      <c r="R1242" s="263"/>
      <c r="S1242" s="263"/>
      <c r="T1242" s="263"/>
      <c r="U1242" s="263"/>
    </row>
    <row r="1246" spans="7:23" x14ac:dyDescent="0.25">
      <c r="W1246" s="263"/>
    </row>
    <row r="1247" spans="7:23" x14ac:dyDescent="0.25">
      <c r="G1247" s="263"/>
      <c r="H1247" s="263"/>
      <c r="I1247" s="263"/>
      <c r="J1247" s="263"/>
      <c r="K1247" s="263"/>
      <c r="L1247" s="263"/>
      <c r="M1247" s="263"/>
      <c r="N1247" s="263"/>
      <c r="O1247" s="263"/>
      <c r="P1247" s="263"/>
      <c r="Q1247" s="263"/>
      <c r="R1247" s="263"/>
      <c r="S1247" s="263"/>
      <c r="T1247" s="263"/>
      <c r="U1247" s="263"/>
      <c r="W1247" s="263"/>
    </row>
    <row r="1248" spans="7:23" x14ac:dyDescent="0.25">
      <c r="G1248" s="263"/>
      <c r="H1248" s="263"/>
      <c r="I1248" s="263"/>
      <c r="J1248" s="263"/>
      <c r="K1248" s="263"/>
      <c r="L1248" s="263"/>
      <c r="M1248" s="263"/>
      <c r="N1248" s="263"/>
      <c r="O1248" s="263"/>
      <c r="P1248" s="263"/>
      <c r="Q1248" s="263"/>
      <c r="R1248" s="263"/>
      <c r="S1248" s="263"/>
      <c r="T1248" s="263"/>
      <c r="U1248" s="263"/>
      <c r="W1248" s="263"/>
    </row>
    <row r="1249" spans="7:23" x14ac:dyDescent="0.25">
      <c r="G1249" s="263"/>
      <c r="H1249" s="263"/>
      <c r="I1249" s="263"/>
      <c r="J1249" s="263"/>
      <c r="K1249" s="263"/>
      <c r="L1249" s="263"/>
      <c r="M1249" s="263"/>
      <c r="N1249" s="263"/>
      <c r="O1249" s="263"/>
      <c r="P1249" s="263"/>
      <c r="Q1249" s="263"/>
      <c r="R1249" s="263"/>
      <c r="S1249" s="263"/>
      <c r="T1249" s="263"/>
      <c r="U1249" s="263"/>
      <c r="W1249" s="263"/>
    </row>
    <row r="1250" spans="7:23" x14ac:dyDescent="0.25">
      <c r="G1250" s="263"/>
      <c r="H1250" s="263"/>
      <c r="I1250" s="263"/>
      <c r="J1250" s="263"/>
      <c r="K1250" s="263"/>
      <c r="L1250" s="263"/>
      <c r="M1250" s="263"/>
      <c r="N1250" s="263"/>
      <c r="O1250" s="263"/>
      <c r="P1250" s="263"/>
      <c r="Q1250" s="263"/>
      <c r="R1250" s="263"/>
      <c r="S1250" s="263"/>
      <c r="T1250" s="263"/>
      <c r="U1250" s="263"/>
      <c r="W1250" s="263"/>
    </row>
    <row r="1251" spans="7:23" x14ac:dyDescent="0.25">
      <c r="G1251" s="263"/>
      <c r="H1251" s="263"/>
      <c r="I1251" s="263"/>
      <c r="J1251" s="263"/>
      <c r="K1251" s="263"/>
      <c r="L1251" s="263"/>
      <c r="M1251" s="263"/>
      <c r="N1251" s="263"/>
      <c r="O1251" s="263"/>
      <c r="P1251" s="263"/>
      <c r="Q1251" s="263"/>
      <c r="R1251" s="263"/>
      <c r="S1251" s="263"/>
      <c r="T1251" s="263"/>
      <c r="U1251" s="263"/>
    </row>
    <row r="1253" spans="7:23" x14ac:dyDescent="0.25">
      <c r="W1253" s="263"/>
    </row>
    <row r="1254" spans="7:23" x14ac:dyDescent="0.25">
      <c r="G1254" s="263"/>
      <c r="H1254" s="263"/>
      <c r="I1254" s="263"/>
      <c r="J1254" s="263"/>
      <c r="K1254" s="263"/>
      <c r="L1254" s="263"/>
      <c r="M1254" s="263"/>
      <c r="N1254" s="263"/>
      <c r="O1254" s="263"/>
      <c r="P1254" s="263"/>
      <c r="Q1254" s="263"/>
      <c r="R1254" s="263"/>
      <c r="S1254" s="263"/>
      <c r="T1254" s="263"/>
      <c r="U1254" s="263"/>
      <c r="W1254" s="263"/>
    </row>
    <row r="1255" spans="7:23" x14ac:dyDescent="0.25">
      <c r="G1255" s="263"/>
      <c r="H1255" s="263"/>
      <c r="I1255" s="263"/>
      <c r="J1255" s="263"/>
      <c r="K1255" s="263"/>
      <c r="L1255" s="263"/>
      <c r="M1255" s="263"/>
      <c r="N1255" s="263"/>
      <c r="O1255" s="263"/>
      <c r="P1255" s="263"/>
      <c r="Q1255" s="263"/>
      <c r="R1255" s="263"/>
      <c r="S1255" s="263"/>
      <c r="T1255" s="263"/>
      <c r="U1255" s="263"/>
    </row>
    <row r="1257" spans="7:23" x14ac:dyDescent="0.25">
      <c r="W1257" s="263"/>
    </row>
    <row r="1258" spans="7:23" x14ac:dyDescent="0.25">
      <c r="G1258" s="263"/>
      <c r="H1258" s="263"/>
      <c r="I1258" s="263"/>
      <c r="J1258" s="263"/>
      <c r="K1258" s="263"/>
      <c r="L1258" s="263"/>
      <c r="M1258" s="263"/>
      <c r="N1258" s="263"/>
      <c r="O1258" s="263"/>
      <c r="P1258" s="263"/>
      <c r="Q1258" s="263"/>
      <c r="R1258" s="263"/>
      <c r="S1258" s="263"/>
      <c r="T1258" s="263"/>
      <c r="U1258" s="263"/>
      <c r="W1258" s="263"/>
    </row>
    <row r="1259" spans="7:23" x14ac:dyDescent="0.25">
      <c r="G1259" s="263"/>
      <c r="H1259" s="263"/>
      <c r="I1259" s="263"/>
      <c r="J1259" s="263"/>
      <c r="K1259" s="263"/>
      <c r="L1259" s="263"/>
      <c r="M1259" s="263"/>
      <c r="N1259" s="263"/>
      <c r="O1259" s="263"/>
      <c r="P1259" s="263"/>
      <c r="Q1259" s="263"/>
      <c r="R1259" s="263"/>
      <c r="S1259" s="263"/>
      <c r="T1259" s="263"/>
      <c r="U1259" s="263"/>
      <c r="W1259" s="263"/>
    </row>
    <row r="1260" spans="7:23" x14ac:dyDescent="0.25">
      <c r="G1260" s="263"/>
      <c r="H1260" s="263"/>
      <c r="I1260" s="263"/>
      <c r="J1260" s="263"/>
      <c r="K1260" s="263"/>
      <c r="L1260" s="263"/>
      <c r="M1260" s="263"/>
      <c r="N1260" s="263"/>
      <c r="O1260" s="263"/>
      <c r="P1260" s="263"/>
      <c r="Q1260" s="263"/>
      <c r="R1260" s="263"/>
      <c r="S1260" s="263"/>
      <c r="T1260" s="263"/>
      <c r="U1260" s="263"/>
    </row>
    <row r="1262" spans="7:23" x14ac:dyDescent="0.25">
      <c r="W1262" s="263"/>
    </row>
    <row r="1263" spans="7:23" x14ac:dyDescent="0.25">
      <c r="G1263" s="263"/>
      <c r="H1263" s="263"/>
      <c r="I1263" s="263"/>
      <c r="J1263" s="263"/>
      <c r="K1263" s="263"/>
      <c r="L1263" s="263"/>
      <c r="M1263" s="263"/>
      <c r="N1263" s="263"/>
      <c r="O1263" s="263"/>
      <c r="P1263" s="263"/>
      <c r="Q1263" s="263"/>
      <c r="R1263" s="263"/>
      <c r="S1263" s="263"/>
      <c r="T1263" s="263"/>
      <c r="U1263" s="263"/>
      <c r="W1263" s="263"/>
    </row>
    <row r="1264" spans="7:23" x14ac:dyDescent="0.25">
      <c r="G1264" s="263"/>
      <c r="H1264" s="263"/>
      <c r="I1264" s="263"/>
      <c r="J1264" s="263"/>
      <c r="K1264" s="263"/>
      <c r="L1264" s="263"/>
      <c r="M1264" s="263"/>
      <c r="N1264" s="263"/>
      <c r="O1264" s="263"/>
      <c r="P1264" s="263"/>
      <c r="Q1264" s="263"/>
      <c r="R1264" s="263"/>
      <c r="S1264" s="263"/>
      <c r="T1264" s="263"/>
      <c r="U1264" s="263"/>
      <c r="W1264" s="263"/>
    </row>
    <row r="1265" spans="7:23" x14ac:dyDescent="0.25">
      <c r="G1265" s="263"/>
      <c r="H1265" s="263"/>
      <c r="I1265" s="263"/>
      <c r="J1265" s="263"/>
      <c r="K1265" s="263"/>
      <c r="L1265" s="263"/>
      <c r="M1265" s="263"/>
      <c r="N1265" s="263"/>
      <c r="O1265" s="263"/>
      <c r="P1265" s="263"/>
      <c r="Q1265" s="263"/>
      <c r="R1265" s="263"/>
      <c r="S1265" s="263"/>
      <c r="T1265" s="263"/>
      <c r="U1265" s="263"/>
      <c r="W1265" s="263"/>
    </row>
    <row r="1266" spans="7:23" x14ac:dyDescent="0.25">
      <c r="G1266" s="263"/>
      <c r="H1266" s="263"/>
      <c r="I1266" s="263"/>
      <c r="J1266" s="263"/>
      <c r="K1266" s="263"/>
      <c r="L1266" s="263"/>
      <c r="M1266" s="263"/>
      <c r="N1266" s="263"/>
      <c r="O1266" s="263"/>
      <c r="P1266" s="263"/>
      <c r="Q1266" s="263"/>
      <c r="R1266" s="263"/>
      <c r="S1266" s="263"/>
      <c r="T1266" s="263"/>
      <c r="U1266" s="263"/>
      <c r="W1266" s="263"/>
    </row>
    <row r="1267" spans="7:23" x14ac:dyDescent="0.25">
      <c r="G1267" s="263"/>
      <c r="H1267" s="263"/>
      <c r="I1267" s="263"/>
      <c r="J1267" s="263"/>
      <c r="K1267" s="263"/>
      <c r="L1267" s="263"/>
      <c r="M1267" s="263"/>
      <c r="N1267" s="263"/>
      <c r="O1267" s="263"/>
      <c r="P1267" s="263"/>
      <c r="Q1267" s="263"/>
      <c r="R1267" s="263"/>
      <c r="S1267" s="263"/>
      <c r="T1267" s="263"/>
      <c r="U1267" s="263"/>
      <c r="W1267" s="263"/>
    </row>
    <row r="1268" spans="7:23" x14ac:dyDescent="0.25">
      <c r="G1268" s="263"/>
      <c r="H1268" s="263"/>
      <c r="I1268" s="263"/>
      <c r="J1268" s="263"/>
      <c r="K1268" s="263"/>
      <c r="L1268" s="263"/>
      <c r="M1268" s="263"/>
      <c r="N1268" s="263"/>
      <c r="O1268" s="263"/>
      <c r="P1268" s="263"/>
      <c r="Q1268" s="263"/>
      <c r="R1268" s="263"/>
      <c r="S1268" s="263"/>
      <c r="T1268" s="263"/>
      <c r="U1268" s="263"/>
      <c r="W1268" s="263"/>
    </row>
    <row r="1269" spans="7:23" x14ac:dyDescent="0.25">
      <c r="G1269" s="263"/>
      <c r="H1269" s="263"/>
      <c r="I1269" s="263"/>
      <c r="J1269" s="263"/>
      <c r="K1269" s="263"/>
      <c r="L1269" s="263"/>
      <c r="M1269" s="263"/>
      <c r="N1269" s="263"/>
      <c r="O1269" s="263"/>
      <c r="P1269" s="263"/>
      <c r="Q1269" s="263"/>
      <c r="R1269" s="263"/>
      <c r="S1269" s="263"/>
      <c r="T1269" s="263"/>
      <c r="U1269" s="263"/>
      <c r="W1269" s="263"/>
    </row>
    <row r="1270" spans="7:23" x14ac:dyDescent="0.25">
      <c r="G1270" s="263"/>
      <c r="H1270" s="263"/>
      <c r="I1270" s="263"/>
      <c r="J1270" s="263"/>
      <c r="K1270" s="263"/>
      <c r="L1270" s="263"/>
      <c r="M1270" s="263"/>
      <c r="N1270" s="263"/>
      <c r="O1270" s="263"/>
      <c r="P1270" s="263"/>
      <c r="Q1270" s="263"/>
      <c r="R1270" s="263"/>
      <c r="S1270" s="263"/>
      <c r="T1270" s="263"/>
      <c r="U1270" s="263"/>
      <c r="W1270" s="263"/>
    </row>
    <row r="1271" spans="7:23" x14ac:dyDescent="0.25">
      <c r="G1271" s="263"/>
      <c r="H1271" s="263"/>
      <c r="I1271" s="263"/>
      <c r="J1271" s="263"/>
      <c r="K1271" s="263"/>
      <c r="L1271" s="263"/>
      <c r="M1271" s="263"/>
      <c r="N1271" s="263"/>
      <c r="O1271" s="263"/>
      <c r="P1271" s="263"/>
      <c r="Q1271" s="263"/>
      <c r="R1271" s="263"/>
      <c r="S1271" s="263"/>
      <c r="T1271" s="263"/>
      <c r="U1271" s="263"/>
      <c r="W1271" s="263"/>
    </row>
    <row r="1272" spans="7:23" x14ac:dyDescent="0.25">
      <c r="G1272" s="263"/>
      <c r="H1272" s="263"/>
      <c r="I1272" s="263"/>
      <c r="J1272" s="263"/>
      <c r="K1272" s="263"/>
      <c r="L1272" s="263"/>
      <c r="M1272" s="263"/>
      <c r="N1272" s="263"/>
      <c r="O1272" s="263"/>
      <c r="P1272" s="263"/>
      <c r="Q1272" s="263"/>
      <c r="R1272" s="263"/>
      <c r="S1272" s="263"/>
      <c r="T1272" s="263"/>
      <c r="U1272" s="263"/>
      <c r="W1272" s="263"/>
    </row>
    <row r="1273" spans="7:23" x14ac:dyDescent="0.25">
      <c r="G1273" s="263"/>
      <c r="H1273" s="263"/>
      <c r="I1273" s="263"/>
      <c r="J1273" s="263"/>
      <c r="K1273" s="263"/>
      <c r="L1273" s="263"/>
      <c r="M1273" s="263"/>
      <c r="N1273" s="263"/>
      <c r="O1273" s="263"/>
      <c r="P1273" s="263"/>
      <c r="Q1273" s="263"/>
      <c r="R1273" s="263"/>
      <c r="S1273" s="263"/>
      <c r="T1273" s="263"/>
      <c r="U1273" s="263"/>
    </row>
    <row r="1279" spans="7:23" x14ac:dyDescent="0.25">
      <c r="W1279" s="263"/>
    </row>
    <row r="1280" spans="7:23" x14ac:dyDescent="0.25">
      <c r="G1280" s="263"/>
      <c r="H1280" s="263"/>
      <c r="I1280" s="263"/>
      <c r="J1280" s="263"/>
      <c r="K1280" s="263"/>
      <c r="L1280" s="263"/>
      <c r="M1280" s="263"/>
      <c r="N1280" s="263"/>
      <c r="O1280" s="263"/>
      <c r="P1280" s="263"/>
      <c r="Q1280" s="263"/>
      <c r="R1280" s="263"/>
      <c r="S1280" s="263"/>
      <c r="T1280" s="263"/>
      <c r="U1280" s="263"/>
    </row>
    <row r="1282" spans="7:23" x14ac:dyDescent="0.25">
      <c r="W1282" s="263"/>
    </row>
    <row r="1283" spans="7:23" x14ac:dyDescent="0.25">
      <c r="G1283" s="263"/>
      <c r="H1283" s="263"/>
      <c r="I1283" s="263"/>
      <c r="J1283" s="263"/>
      <c r="K1283" s="263"/>
      <c r="L1283" s="263"/>
      <c r="M1283" s="263"/>
      <c r="N1283" s="263"/>
      <c r="O1283" s="263"/>
      <c r="P1283" s="263"/>
      <c r="Q1283" s="263"/>
      <c r="R1283" s="263"/>
      <c r="S1283" s="263"/>
      <c r="T1283" s="263"/>
      <c r="U1283" s="263"/>
      <c r="W1283" s="263"/>
    </row>
    <row r="1284" spans="7:23" x14ac:dyDescent="0.25">
      <c r="G1284" s="263"/>
      <c r="H1284" s="263"/>
      <c r="I1284" s="263"/>
      <c r="J1284" s="263"/>
      <c r="K1284" s="263"/>
      <c r="L1284" s="263"/>
      <c r="M1284" s="263"/>
      <c r="N1284" s="263"/>
      <c r="O1284" s="263"/>
      <c r="P1284" s="263"/>
      <c r="Q1284" s="263"/>
      <c r="R1284" s="263"/>
      <c r="S1284" s="263"/>
      <c r="T1284" s="263"/>
      <c r="U1284" s="263"/>
      <c r="W1284" s="263"/>
    </row>
    <row r="1285" spans="7:23" x14ac:dyDescent="0.25">
      <c r="G1285" s="263"/>
      <c r="H1285" s="263"/>
      <c r="I1285" s="263"/>
      <c r="J1285" s="263"/>
      <c r="K1285" s="263"/>
      <c r="L1285" s="263"/>
      <c r="M1285" s="263"/>
      <c r="N1285" s="263"/>
      <c r="O1285" s="263"/>
      <c r="P1285" s="263"/>
      <c r="Q1285" s="263"/>
      <c r="R1285" s="263"/>
      <c r="S1285" s="263"/>
      <c r="T1285" s="263"/>
      <c r="U1285" s="263"/>
      <c r="W1285" s="263"/>
    </row>
    <row r="1286" spans="7:23" x14ac:dyDescent="0.25">
      <c r="G1286" s="263"/>
      <c r="H1286" s="263"/>
      <c r="I1286" s="263"/>
      <c r="J1286" s="263"/>
      <c r="K1286" s="263"/>
      <c r="L1286" s="263"/>
      <c r="M1286" s="263"/>
      <c r="N1286" s="263"/>
      <c r="O1286" s="263"/>
      <c r="P1286" s="263"/>
      <c r="Q1286" s="263"/>
      <c r="R1286" s="263"/>
      <c r="S1286" s="263"/>
      <c r="T1286" s="263"/>
      <c r="U1286" s="263"/>
    </row>
    <row r="1288" spans="7:23" x14ac:dyDescent="0.25">
      <c r="W1288" s="263"/>
    </row>
    <row r="1289" spans="7:23" x14ac:dyDescent="0.25">
      <c r="G1289" s="263"/>
      <c r="H1289" s="263"/>
      <c r="I1289" s="263"/>
      <c r="J1289" s="263"/>
      <c r="K1289" s="263"/>
      <c r="L1289" s="263"/>
      <c r="M1289" s="263"/>
      <c r="N1289" s="263"/>
      <c r="O1289" s="263"/>
      <c r="P1289" s="263"/>
      <c r="Q1289" s="263"/>
      <c r="R1289" s="263"/>
      <c r="S1289" s="263"/>
      <c r="T1289" s="263"/>
      <c r="U1289" s="263"/>
    </row>
    <row r="1295" spans="7:23" x14ac:dyDescent="0.25">
      <c r="W1295" s="263"/>
    </row>
    <row r="1296" spans="7:23" x14ac:dyDescent="0.25"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3"/>
      <c r="Q1296" s="263"/>
      <c r="R1296" s="263"/>
      <c r="S1296" s="263"/>
      <c r="T1296" s="263"/>
      <c r="U1296" s="263"/>
      <c r="W1296" s="263"/>
    </row>
    <row r="1297" spans="7:23" x14ac:dyDescent="0.25">
      <c r="G1297" s="263"/>
      <c r="H1297" s="263"/>
      <c r="I1297" s="263"/>
      <c r="J1297" s="263"/>
      <c r="K1297" s="263"/>
      <c r="L1297" s="263"/>
      <c r="M1297" s="263"/>
      <c r="N1297" s="263"/>
      <c r="O1297" s="263"/>
      <c r="P1297" s="263"/>
      <c r="Q1297" s="263"/>
      <c r="R1297" s="263"/>
      <c r="S1297" s="263"/>
      <c r="T1297" s="263"/>
      <c r="U1297" s="263"/>
      <c r="W1297" s="263"/>
    </row>
    <row r="1298" spans="7:23" x14ac:dyDescent="0.25">
      <c r="G1298" s="263"/>
      <c r="H1298" s="263"/>
      <c r="I1298" s="263"/>
      <c r="J1298" s="263"/>
      <c r="K1298" s="263"/>
      <c r="L1298" s="263"/>
      <c r="M1298" s="263"/>
      <c r="N1298" s="263"/>
      <c r="O1298" s="263"/>
      <c r="P1298" s="263"/>
      <c r="Q1298" s="263"/>
      <c r="R1298" s="263"/>
      <c r="S1298" s="263"/>
      <c r="T1298" s="263"/>
      <c r="U1298" s="263"/>
      <c r="W1298" s="263"/>
    </row>
    <row r="1299" spans="7:23" x14ac:dyDescent="0.25">
      <c r="G1299" s="263"/>
      <c r="H1299" s="263"/>
      <c r="I1299" s="263"/>
      <c r="J1299" s="263"/>
      <c r="K1299" s="263"/>
      <c r="L1299" s="263"/>
      <c r="M1299" s="263"/>
      <c r="N1299" s="263"/>
      <c r="O1299" s="263"/>
      <c r="P1299" s="263"/>
      <c r="Q1299" s="263"/>
      <c r="R1299" s="263"/>
      <c r="S1299" s="263"/>
      <c r="T1299" s="263"/>
      <c r="U1299" s="263"/>
      <c r="W1299" s="263"/>
    </row>
    <row r="1300" spans="7:23" x14ac:dyDescent="0.25">
      <c r="G1300" s="263"/>
      <c r="H1300" s="263"/>
      <c r="I1300" s="263"/>
      <c r="J1300" s="263"/>
      <c r="K1300" s="263"/>
      <c r="L1300" s="263"/>
      <c r="M1300" s="263"/>
      <c r="N1300" s="263"/>
      <c r="O1300" s="263"/>
      <c r="P1300" s="263"/>
      <c r="Q1300" s="263"/>
      <c r="R1300" s="263"/>
      <c r="S1300" s="263"/>
      <c r="T1300" s="263"/>
      <c r="U1300" s="263"/>
    </row>
    <row r="1306" spans="7:23" x14ac:dyDescent="0.25">
      <c r="W1306" s="263"/>
    </row>
    <row r="1307" spans="7:23" x14ac:dyDescent="0.25">
      <c r="G1307" s="263"/>
      <c r="H1307" s="263"/>
      <c r="I1307" s="263"/>
      <c r="J1307" s="263"/>
      <c r="K1307" s="263"/>
      <c r="L1307" s="263"/>
      <c r="M1307" s="263"/>
      <c r="N1307" s="263"/>
      <c r="O1307" s="263"/>
      <c r="P1307" s="263"/>
      <c r="Q1307" s="263"/>
      <c r="R1307" s="263"/>
      <c r="S1307" s="263"/>
      <c r="T1307" s="263"/>
      <c r="U1307" s="263"/>
      <c r="W1307" s="263"/>
    </row>
    <row r="1308" spans="7:23" x14ac:dyDescent="0.25">
      <c r="G1308" s="263"/>
      <c r="H1308" s="263"/>
      <c r="I1308" s="263"/>
      <c r="J1308" s="263"/>
      <c r="K1308" s="263"/>
      <c r="L1308" s="263"/>
      <c r="M1308" s="263"/>
      <c r="N1308" s="263"/>
      <c r="O1308" s="263"/>
      <c r="P1308" s="263"/>
      <c r="Q1308" s="263"/>
      <c r="R1308" s="263"/>
      <c r="S1308" s="263"/>
      <c r="T1308" s="263"/>
      <c r="U1308" s="263"/>
      <c r="W1308" s="263"/>
    </row>
    <row r="1309" spans="7:23" x14ac:dyDescent="0.25">
      <c r="G1309" s="263"/>
      <c r="H1309" s="263"/>
      <c r="I1309" s="263"/>
      <c r="J1309" s="263"/>
      <c r="K1309" s="263"/>
      <c r="L1309" s="263"/>
      <c r="M1309" s="263"/>
      <c r="N1309" s="263"/>
      <c r="O1309" s="263"/>
      <c r="P1309" s="263"/>
      <c r="Q1309" s="263"/>
      <c r="R1309" s="263"/>
      <c r="S1309" s="263"/>
      <c r="T1309" s="263"/>
      <c r="U1309" s="263"/>
    </row>
    <row r="1313" spans="7:23" x14ac:dyDescent="0.25">
      <c r="W1313" s="263"/>
    </row>
    <row r="1314" spans="7:23" x14ac:dyDescent="0.25">
      <c r="G1314" s="263"/>
      <c r="H1314" s="263"/>
      <c r="I1314" s="263"/>
      <c r="J1314" s="263"/>
      <c r="K1314" s="263"/>
      <c r="L1314" s="263"/>
      <c r="M1314" s="263"/>
      <c r="N1314" s="263"/>
      <c r="O1314" s="263"/>
      <c r="P1314" s="263"/>
      <c r="Q1314" s="263"/>
      <c r="R1314" s="263"/>
      <c r="S1314" s="263"/>
      <c r="T1314" s="263"/>
      <c r="U1314" s="263"/>
    </row>
    <row r="1316" spans="7:23" x14ac:dyDescent="0.25">
      <c r="W1316" s="263"/>
    </row>
    <row r="1317" spans="7:23" x14ac:dyDescent="0.25">
      <c r="G1317" s="263"/>
      <c r="H1317" s="263"/>
      <c r="I1317" s="263"/>
      <c r="J1317" s="263"/>
      <c r="K1317" s="263"/>
      <c r="L1317" s="263"/>
      <c r="M1317" s="263"/>
      <c r="N1317" s="263"/>
      <c r="O1317" s="263"/>
      <c r="P1317" s="263"/>
      <c r="Q1317" s="263"/>
      <c r="R1317" s="263"/>
      <c r="S1317" s="263"/>
      <c r="T1317" s="263"/>
      <c r="U1317" s="263"/>
      <c r="W1317" s="263"/>
    </row>
    <row r="1318" spans="7:23" x14ac:dyDescent="0.25">
      <c r="G1318" s="263"/>
      <c r="H1318" s="263"/>
      <c r="I1318" s="263"/>
      <c r="J1318" s="263"/>
      <c r="K1318" s="263"/>
      <c r="L1318" s="263"/>
      <c r="M1318" s="263"/>
      <c r="N1318" s="263"/>
      <c r="O1318" s="263"/>
      <c r="P1318" s="263"/>
      <c r="Q1318" s="263"/>
      <c r="R1318" s="263"/>
      <c r="S1318" s="263"/>
      <c r="T1318" s="263"/>
      <c r="U1318" s="263"/>
      <c r="W1318" s="263"/>
    </row>
    <row r="1319" spans="7:23" x14ac:dyDescent="0.25">
      <c r="G1319" s="263"/>
      <c r="H1319" s="263"/>
      <c r="I1319" s="263"/>
      <c r="J1319" s="263"/>
      <c r="K1319" s="263"/>
      <c r="L1319" s="263"/>
      <c r="M1319" s="263"/>
      <c r="N1319" s="263"/>
      <c r="O1319" s="263"/>
      <c r="P1319" s="263"/>
      <c r="Q1319" s="263"/>
      <c r="R1319" s="263"/>
      <c r="S1319" s="263"/>
      <c r="T1319" s="263"/>
      <c r="U1319" s="263"/>
      <c r="W1319" s="263"/>
    </row>
    <row r="1320" spans="7:23" x14ac:dyDescent="0.25">
      <c r="G1320" s="263"/>
      <c r="H1320" s="263"/>
      <c r="I1320" s="263"/>
      <c r="J1320" s="263"/>
      <c r="K1320" s="263"/>
      <c r="L1320" s="263"/>
      <c r="M1320" s="263"/>
      <c r="N1320" s="263"/>
      <c r="O1320" s="263"/>
      <c r="P1320" s="263"/>
      <c r="Q1320" s="263"/>
      <c r="R1320" s="263"/>
      <c r="S1320" s="263"/>
      <c r="T1320" s="263"/>
      <c r="U1320" s="263"/>
      <c r="W1320" s="263"/>
    </row>
    <row r="1321" spans="7:23" x14ac:dyDescent="0.25">
      <c r="G1321" s="263"/>
      <c r="H1321" s="263"/>
      <c r="I1321" s="263"/>
      <c r="J1321" s="263"/>
      <c r="K1321" s="263"/>
      <c r="L1321" s="263"/>
      <c r="M1321" s="263"/>
      <c r="N1321" s="263"/>
      <c r="O1321" s="263"/>
      <c r="P1321" s="263"/>
      <c r="Q1321" s="263"/>
      <c r="R1321" s="263"/>
      <c r="S1321" s="263"/>
      <c r="T1321" s="263"/>
      <c r="U1321" s="263"/>
      <c r="W1321" s="263"/>
    </row>
    <row r="1322" spans="7:23" x14ac:dyDescent="0.25">
      <c r="G1322" s="263"/>
      <c r="H1322" s="263"/>
      <c r="I1322" s="263"/>
      <c r="J1322" s="263"/>
      <c r="K1322" s="263"/>
      <c r="L1322" s="263"/>
      <c r="M1322" s="263"/>
      <c r="N1322" s="263"/>
      <c r="O1322" s="263"/>
      <c r="P1322" s="263"/>
      <c r="Q1322" s="263"/>
      <c r="R1322" s="263"/>
      <c r="S1322" s="263"/>
      <c r="T1322" s="263"/>
      <c r="U1322" s="263"/>
      <c r="W1322" s="263"/>
    </row>
    <row r="1323" spans="7:23" x14ac:dyDescent="0.25">
      <c r="G1323" s="263"/>
      <c r="H1323" s="263"/>
      <c r="I1323" s="263"/>
      <c r="J1323" s="263"/>
      <c r="K1323" s="263"/>
      <c r="L1323" s="263"/>
      <c r="M1323" s="263"/>
      <c r="N1323" s="263"/>
      <c r="O1323" s="263"/>
      <c r="P1323" s="263"/>
      <c r="Q1323" s="263"/>
      <c r="R1323" s="263"/>
      <c r="S1323" s="263"/>
      <c r="T1323" s="263"/>
      <c r="U1323" s="263"/>
    </row>
    <row r="1329" spans="7:23" x14ac:dyDescent="0.25">
      <c r="W1329" s="263"/>
    </row>
    <row r="1330" spans="7:23" x14ac:dyDescent="0.25">
      <c r="G1330" s="263"/>
      <c r="H1330" s="263"/>
      <c r="I1330" s="263"/>
      <c r="J1330" s="263"/>
      <c r="K1330" s="263"/>
      <c r="L1330" s="263"/>
      <c r="M1330" s="263"/>
      <c r="N1330" s="263"/>
      <c r="O1330" s="263"/>
      <c r="P1330" s="263"/>
      <c r="Q1330" s="263"/>
      <c r="R1330" s="263"/>
      <c r="S1330" s="263"/>
      <c r="T1330" s="263"/>
      <c r="U1330" s="263"/>
      <c r="W1330" s="263"/>
    </row>
    <row r="1331" spans="7:23" x14ac:dyDescent="0.25">
      <c r="G1331" s="263"/>
      <c r="H1331" s="263"/>
      <c r="I1331" s="263"/>
      <c r="J1331" s="263"/>
      <c r="K1331" s="263"/>
      <c r="L1331" s="263"/>
      <c r="M1331" s="263"/>
      <c r="N1331" s="263"/>
      <c r="O1331" s="263"/>
      <c r="P1331" s="263"/>
      <c r="Q1331" s="263"/>
      <c r="R1331" s="263"/>
      <c r="S1331" s="263"/>
      <c r="T1331" s="263"/>
      <c r="U1331" s="263"/>
      <c r="W1331" s="263"/>
    </row>
    <row r="1332" spans="7:23" x14ac:dyDescent="0.25">
      <c r="G1332" s="263"/>
      <c r="H1332" s="263"/>
      <c r="I1332" s="263"/>
      <c r="J1332" s="263"/>
      <c r="K1332" s="263"/>
      <c r="L1332" s="263"/>
      <c r="M1332" s="263"/>
      <c r="N1332" s="263"/>
      <c r="O1332" s="263"/>
      <c r="P1332" s="263"/>
      <c r="Q1332" s="263"/>
      <c r="R1332" s="263"/>
      <c r="S1332" s="263"/>
      <c r="T1332" s="263"/>
      <c r="U1332" s="263"/>
      <c r="W1332" s="263"/>
    </row>
    <row r="1333" spans="7:23" x14ac:dyDescent="0.25">
      <c r="G1333" s="263"/>
      <c r="H1333" s="263"/>
      <c r="I1333" s="263"/>
      <c r="J1333" s="263"/>
      <c r="K1333" s="263"/>
      <c r="L1333" s="263"/>
      <c r="M1333" s="263"/>
      <c r="N1333" s="263"/>
      <c r="O1333" s="263"/>
      <c r="P1333" s="263"/>
      <c r="Q1333" s="263"/>
      <c r="R1333" s="263"/>
      <c r="S1333" s="263"/>
      <c r="T1333" s="263"/>
      <c r="U1333" s="263"/>
      <c r="W1333" s="263"/>
    </row>
    <row r="1334" spans="7:23" x14ac:dyDescent="0.25">
      <c r="G1334" s="263"/>
      <c r="H1334" s="263"/>
      <c r="I1334" s="263"/>
      <c r="J1334" s="263"/>
      <c r="K1334" s="263"/>
      <c r="L1334" s="263"/>
      <c r="M1334" s="263"/>
      <c r="N1334" s="263"/>
      <c r="O1334" s="263"/>
      <c r="P1334" s="263"/>
      <c r="Q1334" s="263"/>
      <c r="R1334" s="263"/>
      <c r="S1334" s="263"/>
      <c r="T1334" s="263"/>
      <c r="U1334" s="263"/>
      <c r="W1334" s="263"/>
    </row>
    <row r="1335" spans="7:23" x14ac:dyDescent="0.25">
      <c r="G1335" s="263"/>
      <c r="H1335" s="263"/>
      <c r="I1335" s="263"/>
      <c r="J1335" s="263"/>
      <c r="K1335" s="263"/>
      <c r="L1335" s="263"/>
      <c r="M1335" s="263"/>
      <c r="N1335" s="263"/>
      <c r="O1335" s="263"/>
      <c r="P1335" s="263"/>
      <c r="Q1335" s="263"/>
      <c r="R1335" s="263"/>
      <c r="S1335" s="263"/>
      <c r="T1335" s="263"/>
      <c r="U1335" s="263"/>
      <c r="W1335" s="263"/>
    </row>
    <row r="1336" spans="7:23" x14ac:dyDescent="0.25">
      <c r="G1336" s="263"/>
      <c r="H1336" s="263"/>
      <c r="I1336" s="263"/>
      <c r="J1336" s="263"/>
      <c r="K1336" s="263"/>
      <c r="L1336" s="263"/>
      <c r="M1336" s="263"/>
      <c r="N1336" s="263"/>
      <c r="O1336" s="263"/>
      <c r="P1336" s="263"/>
      <c r="Q1336" s="263"/>
      <c r="R1336" s="263"/>
      <c r="S1336" s="263"/>
      <c r="T1336" s="263"/>
      <c r="U1336" s="263"/>
      <c r="W1336" s="263"/>
    </row>
    <row r="1337" spans="7:23" x14ac:dyDescent="0.25">
      <c r="G1337" s="263"/>
      <c r="H1337" s="263"/>
      <c r="I1337" s="263"/>
      <c r="J1337" s="263"/>
      <c r="K1337" s="263"/>
      <c r="L1337" s="263"/>
      <c r="M1337" s="263"/>
      <c r="N1337" s="263"/>
      <c r="O1337" s="263"/>
      <c r="P1337" s="263"/>
      <c r="Q1337" s="263"/>
      <c r="R1337" s="263"/>
      <c r="S1337" s="263"/>
      <c r="T1337" s="263"/>
      <c r="U1337" s="263"/>
      <c r="W1337" s="263"/>
    </row>
    <row r="1338" spans="7:23" x14ac:dyDescent="0.25">
      <c r="G1338" s="263"/>
      <c r="H1338" s="263"/>
      <c r="I1338" s="263"/>
      <c r="J1338" s="263"/>
      <c r="K1338" s="263"/>
      <c r="L1338" s="263"/>
      <c r="M1338" s="263"/>
      <c r="N1338" s="263"/>
      <c r="O1338" s="263"/>
      <c r="P1338" s="263"/>
      <c r="Q1338" s="263"/>
      <c r="R1338" s="263"/>
      <c r="S1338" s="263"/>
      <c r="T1338" s="263"/>
      <c r="U1338" s="263"/>
      <c r="W1338" s="263"/>
    </row>
    <row r="1339" spans="7:23" x14ac:dyDescent="0.25">
      <c r="G1339" s="263"/>
      <c r="H1339" s="263"/>
      <c r="I1339" s="263"/>
      <c r="J1339" s="263"/>
      <c r="K1339" s="263"/>
      <c r="L1339" s="263"/>
      <c r="M1339" s="263"/>
      <c r="N1339" s="263"/>
      <c r="O1339" s="263"/>
      <c r="P1339" s="263"/>
      <c r="Q1339" s="263"/>
      <c r="R1339" s="263"/>
      <c r="S1339" s="263"/>
      <c r="T1339" s="263"/>
      <c r="U1339" s="263"/>
      <c r="W1339" s="263"/>
    </row>
    <row r="1340" spans="7:23" x14ac:dyDescent="0.25">
      <c r="G1340" s="263"/>
      <c r="H1340" s="263"/>
      <c r="I1340" s="263"/>
      <c r="J1340" s="263"/>
      <c r="K1340" s="263"/>
      <c r="L1340" s="263"/>
      <c r="M1340" s="263"/>
      <c r="N1340" s="263"/>
      <c r="O1340" s="263"/>
      <c r="P1340" s="263"/>
      <c r="Q1340" s="263"/>
      <c r="R1340" s="263"/>
      <c r="S1340" s="263"/>
      <c r="T1340" s="263"/>
      <c r="U1340" s="263"/>
      <c r="W1340" s="263"/>
    </row>
    <row r="1341" spans="7:23" x14ac:dyDescent="0.25">
      <c r="G1341" s="263"/>
      <c r="H1341" s="263"/>
      <c r="I1341" s="263"/>
      <c r="J1341" s="263"/>
      <c r="K1341" s="263"/>
      <c r="L1341" s="263"/>
      <c r="M1341" s="263"/>
      <c r="N1341" s="263"/>
      <c r="O1341" s="263"/>
      <c r="P1341" s="263"/>
      <c r="Q1341" s="263"/>
      <c r="R1341" s="263"/>
      <c r="S1341" s="263"/>
      <c r="T1341" s="263"/>
      <c r="U1341" s="263"/>
      <c r="W1341" s="263"/>
    </row>
    <row r="1342" spans="7:23" x14ac:dyDescent="0.25"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3"/>
      <c r="Q1342" s="263"/>
      <c r="R1342" s="263"/>
      <c r="S1342" s="263"/>
      <c r="T1342" s="263"/>
      <c r="U1342" s="263"/>
      <c r="W1342" s="263"/>
    </row>
    <row r="1343" spans="7:23" x14ac:dyDescent="0.25">
      <c r="G1343" s="263"/>
      <c r="H1343" s="263"/>
      <c r="I1343" s="263"/>
      <c r="J1343" s="263"/>
      <c r="K1343" s="263"/>
      <c r="L1343" s="263"/>
      <c r="M1343" s="263"/>
      <c r="N1343" s="263"/>
      <c r="O1343" s="263"/>
      <c r="P1343" s="263"/>
      <c r="Q1343" s="263"/>
      <c r="R1343" s="263"/>
      <c r="S1343" s="263"/>
      <c r="T1343" s="263"/>
      <c r="U1343" s="263"/>
      <c r="W1343" s="263"/>
    </row>
    <row r="1344" spans="7:23" x14ac:dyDescent="0.25">
      <c r="G1344" s="263"/>
      <c r="H1344" s="263"/>
      <c r="I1344" s="263"/>
      <c r="J1344" s="263"/>
      <c r="K1344" s="263"/>
      <c r="L1344" s="263"/>
      <c r="M1344" s="263"/>
      <c r="N1344" s="263"/>
      <c r="O1344" s="263"/>
      <c r="P1344" s="263"/>
      <c r="Q1344" s="263"/>
      <c r="R1344" s="263"/>
      <c r="S1344" s="263"/>
      <c r="T1344" s="263"/>
      <c r="U1344" s="263"/>
      <c r="W1344" s="263"/>
    </row>
    <row r="1345" spans="7:23" x14ac:dyDescent="0.25">
      <c r="G1345" s="263"/>
      <c r="H1345" s="263"/>
      <c r="I1345" s="263"/>
      <c r="J1345" s="263"/>
      <c r="K1345" s="263"/>
      <c r="L1345" s="263"/>
      <c r="M1345" s="263"/>
      <c r="N1345" s="263"/>
      <c r="O1345" s="263"/>
      <c r="P1345" s="263"/>
      <c r="Q1345" s="263"/>
      <c r="R1345" s="263"/>
      <c r="S1345" s="263"/>
      <c r="T1345" s="263"/>
      <c r="U1345" s="263"/>
      <c r="W1345" s="263"/>
    </row>
    <row r="1346" spans="7:23" x14ac:dyDescent="0.25">
      <c r="G1346" s="263"/>
      <c r="H1346" s="263"/>
      <c r="I1346" s="263"/>
      <c r="J1346" s="263"/>
      <c r="K1346" s="263"/>
      <c r="L1346" s="263"/>
      <c r="M1346" s="263"/>
      <c r="N1346" s="263"/>
      <c r="O1346" s="263"/>
      <c r="P1346" s="263"/>
      <c r="Q1346" s="263"/>
      <c r="R1346" s="263"/>
      <c r="S1346" s="263"/>
      <c r="T1346" s="263"/>
      <c r="U1346" s="263"/>
      <c r="W1346" s="263"/>
    </row>
    <row r="1347" spans="7:23" x14ac:dyDescent="0.25">
      <c r="G1347" s="263"/>
      <c r="H1347" s="263"/>
      <c r="I1347" s="263"/>
      <c r="J1347" s="263"/>
      <c r="K1347" s="263"/>
      <c r="L1347" s="263"/>
      <c r="M1347" s="263"/>
      <c r="N1347" s="263"/>
      <c r="O1347" s="263"/>
      <c r="P1347" s="263"/>
      <c r="Q1347" s="263"/>
      <c r="R1347" s="263"/>
      <c r="S1347" s="263"/>
      <c r="T1347" s="263"/>
      <c r="U1347" s="263"/>
      <c r="W1347" s="263"/>
    </row>
    <row r="1348" spans="7:23" x14ac:dyDescent="0.25">
      <c r="G1348" s="263"/>
      <c r="H1348" s="263"/>
      <c r="I1348" s="263"/>
      <c r="J1348" s="263"/>
      <c r="K1348" s="263"/>
      <c r="L1348" s="263"/>
      <c r="M1348" s="263"/>
      <c r="N1348" s="263"/>
      <c r="O1348" s="263"/>
      <c r="P1348" s="263"/>
      <c r="Q1348" s="263"/>
      <c r="R1348" s="263"/>
      <c r="S1348" s="263"/>
      <c r="T1348" s="263"/>
      <c r="U1348" s="263"/>
      <c r="W1348" s="263"/>
    </row>
    <row r="1349" spans="7:23" x14ac:dyDescent="0.25">
      <c r="G1349" s="263"/>
      <c r="H1349" s="263"/>
      <c r="I1349" s="263"/>
      <c r="J1349" s="263"/>
      <c r="K1349" s="263"/>
      <c r="L1349" s="263"/>
      <c r="M1349" s="263"/>
      <c r="N1349" s="263"/>
      <c r="O1349" s="263"/>
      <c r="P1349" s="263"/>
      <c r="Q1349" s="263"/>
      <c r="R1349" s="263"/>
      <c r="S1349" s="263"/>
      <c r="T1349" s="263"/>
      <c r="U1349" s="263"/>
      <c r="W1349" s="263"/>
    </row>
    <row r="1350" spans="7:23" x14ac:dyDescent="0.25">
      <c r="G1350" s="263"/>
      <c r="H1350" s="263"/>
      <c r="I1350" s="263"/>
      <c r="J1350" s="263"/>
      <c r="K1350" s="263"/>
      <c r="L1350" s="263"/>
      <c r="M1350" s="263"/>
      <c r="N1350" s="263"/>
      <c r="O1350" s="263"/>
      <c r="P1350" s="263"/>
      <c r="Q1350" s="263"/>
      <c r="R1350" s="263"/>
      <c r="S1350" s="263"/>
      <c r="T1350" s="263"/>
      <c r="U1350" s="263"/>
      <c r="W1350" s="263"/>
    </row>
    <row r="1351" spans="7:23" x14ac:dyDescent="0.25">
      <c r="G1351" s="263"/>
      <c r="H1351" s="263"/>
      <c r="I1351" s="263"/>
      <c r="J1351" s="263"/>
      <c r="K1351" s="263"/>
      <c r="L1351" s="263"/>
      <c r="M1351" s="263"/>
      <c r="N1351" s="263"/>
      <c r="O1351" s="263"/>
      <c r="P1351" s="263"/>
      <c r="Q1351" s="263"/>
      <c r="R1351" s="263"/>
      <c r="S1351" s="263"/>
      <c r="T1351" s="263"/>
      <c r="U1351" s="263"/>
    </row>
    <row r="1353" spans="7:23" x14ac:dyDescent="0.25">
      <c r="W1353" s="263"/>
    </row>
    <row r="1354" spans="7:23" x14ac:dyDescent="0.25">
      <c r="G1354" s="263"/>
      <c r="H1354" s="263"/>
      <c r="I1354" s="263"/>
      <c r="J1354" s="263"/>
      <c r="K1354" s="263"/>
      <c r="L1354" s="263"/>
      <c r="M1354" s="263"/>
      <c r="N1354" s="263"/>
      <c r="O1354" s="263"/>
      <c r="P1354" s="263"/>
      <c r="Q1354" s="263"/>
      <c r="R1354" s="263"/>
      <c r="S1354" s="263"/>
      <c r="T1354" s="263"/>
      <c r="U1354" s="263"/>
      <c r="W1354" s="263"/>
    </row>
    <row r="1355" spans="7:23" x14ac:dyDescent="0.25">
      <c r="G1355" s="263"/>
      <c r="H1355" s="263"/>
      <c r="I1355" s="263"/>
      <c r="J1355" s="263"/>
      <c r="K1355" s="263"/>
      <c r="L1355" s="263"/>
      <c r="M1355" s="263"/>
      <c r="N1355" s="263"/>
      <c r="O1355" s="263"/>
      <c r="P1355" s="263"/>
      <c r="Q1355" s="263"/>
      <c r="R1355" s="263"/>
      <c r="S1355" s="263"/>
      <c r="T1355" s="263"/>
      <c r="U1355" s="263"/>
      <c r="W1355" s="263"/>
    </row>
    <row r="1356" spans="7:23" x14ac:dyDescent="0.25">
      <c r="G1356" s="263"/>
      <c r="H1356" s="263"/>
      <c r="I1356" s="263"/>
      <c r="J1356" s="263"/>
      <c r="K1356" s="263"/>
      <c r="L1356" s="263"/>
      <c r="M1356" s="263"/>
      <c r="N1356" s="263"/>
      <c r="O1356" s="263"/>
      <c r="P1356" s="263"/>
      <c r="Q1356" s="263"/>
      <c r="R1356" s="263"/>
      <c r="S1356" s="263"/>
      <c r="T1356" s="263"/>
      <c r="U1356" s="263"/>
      <c r="W1356" s="263"/>
    </row>
    <row r="1357" spans="7:23" x14ac:dyDescent="0.25">
      <c r="G1357" s="263"/>
      <c r="H1357" s="263"/>
      <c r="I1357" s="263"/>
      <c r="J1357" s="263"/>
      <c r="K1357" s="263"/>
      <c r="L1357" s="263"/>
      <c r="M1357" s="263"/>
      <c r="N1357" s="263"/>
      <c r="O1357" s="263"/>
      <c r="P1357" s="263"/>
      <c r="Q1357" s="263"/>
      <c r="R1357" s="263"/>
      <c r="S1357" s="263"/>
      <c r="T1357" s="263"/>
      <c r="U1357" s="263"/>
      <c r="W1357" s="263"/>
    </row>
    <row r="1358" spans="7:23" x14ac:dyDescent="0.25">
      <c r="G1358" s="263"/>
      <c r="H1358" s="263"/>
      <c r="I1358" s="263"/>
      <c r="J1358" s="263"/>
      <c r="K1358" s="263"/>
      <c r="L1358" s="263"/>
      <c r="M1358" s="263"/>
      <c r="N1358" s="263"/>
      <c r="O1358" s="263"/>
      <c r="P1358" s="263"/>
      <c r="Q1358" s="263"/>
      <c r="R1358" s="263"/>
      <c r="S1358" s="263"/>
      <c r="T1358" s="263"/>
      <c r="U1358" s="263"/>
      <c r="W1358" s="263"/>
    </row>
    <row r="1359" spans="7:23" x14ac:dyDescent="0.25">
      <c r="G1359" s="263"/>
      <c r="H1359" s="263"/>
      <c r="I1359" s="263"/>
      <c r="J1359" s="263"/>
      <c r="K1359" s="263"/>
      <c r="L1359" s="263"/>
      <c r="M1359" s="263"/>
      <c r="N1359" s="263"/>
      <c r="O1359" s="263"/>
      <c r="P1359" s="263"/>
      <c r="Q1359" s="263"/>
      <c r="R1359" s="263"/>
      <c r="S1359" s="263"/>
      <c r="T1359" s="263"/>
      <c r="U1359" s="263"/>
      <c r="W1359" s="263"/>
    </row>
    <row r="1360" spans="7:23" x14ac:dyDescent="0.25">
      <c r="G1360" s="263"/>
      <c r="H1360" s="263"/>
      <c r="I1360" s="263"/>
      <c r="J1360" s="263"/>
      <c r="K1360" s="263"/>
      <c r="L1360" s="263"/>
      <c r="M1360" s="263"/>
      <c r="N1360" s="263"/>
      <c r="O1360" s="263"/>
      <c r="P1360" s="263"/>
      <c r="Q1360" s="263"/>
      <c r="R1360" s="263"/>
      <c r="S1360" s="263"/>
      <c r="T1360" s="263"/>
      <c r="U1360" s="263"/>
      <c r="W1360" s="263"/>
    </row>
    <row r="1361" spans="7:23" x14ac:dyDescent="0.25">
      <c r="G1361" s="263"/>
      <c r="H1361" s="263"/>
      <c r="I1361" s="263"/>
      <c r="J1361" s="263"/>
      <c r="K1361" s="263"/>
      <c r="L1361" s="263"/>
      <c r="M1361" s="263"/>
      <c r="N1361" s="263"/>
      <c r="O1361" s="263"/>
      <c r="P1361" s="263"/>
      <c r="Q1361" s="263"/>
      <c r="R1361" s="263"/>
      <c r="S1361" s="263"/>
      <c r="T1361" s="263"/>
      <c r="U1361" s="263"/>
      <c r="W1361" s="263"/>
    </row>
    <row r="1362" spans="7:23" x14ac:dyDescent="0.25">
      <c r="G1362" s="263"/>
      <c r="H1362" s="263"/>
      <c r="I1362" s="263"/>
      <c r="J1362" s="263"/>
      <c r="K1362" s="263"/>
      <c r="L1362" s="263"/>
      <c r="M1362" s="263"/>
      <c r="N1362" s="263"/>
      <c r="O1362" s="263"/>
      <c r="P1362" s="263"/>
      <c r="Q1362" s="263"/>
      <c r="R1362" s="263"/>
      <c r="S1362" s="263"/>
      <c r="T1362" s="263"/>
      <c r="U1362" s="263"/>
      <c r="W1362" s="263"/>
    </row>
    <row r="1363" spans="7:23" x14ac:dyDescent="0.25">
      <c r="G1363" s="263"/>
      <c r="H1363" s="263"/>
      <c r="I1363" s="263"/>
      <c r="J1363" s="263"/>
      <c r="K1363" s="263"/>
      <c r="L1363" s="263"/>
      <c r="M1363" s="263"/>
      <c r="N1363" s="263"/>
      <c r="O1363" s="263"/>
      <c r="P1363" s="263"/>
      <c r="Q1363" s="263"/>
      <c r="R1363" s="263"/>
      <c r="S1363" s="263"/>
      <c r="T1363" s="263"/>
      <c r="U1363" s="263"/>
      <c r="W1363" s="263"/>
    </row>
    <row r="1364" spans="7:23" x14ac:dyDescent="0.25">
      <c r="G1364" s="263"/>
      <c r="H1364" s="263"/>
      <c r="I1364" s="263"/>
      <c r="J1364" s="263"/>
      <c r="K1364" s="263"/>
      <c r="L1364" s="263"/>
      <c r="M1364" s="263"/>
      <c r="N1364" s="263"/>
      <c r="O1364" s="263"/>
      <c r="P1364" s="263"/>
      <c r="Q1364" s="263"/>
      <c r="R1364" s="263"/>
      <c r="S1364" s="263"/>
      <c r="T1364" s="263"/>
      <c r="U1364" s="263"/>
      <c r="W1364" s="263"/>
    </row>
    <row r="1365" spans="7:23" x14ac:dyDescent="0.25">
      <c r="G1365" s="263"/>
      <c r="H1365" s="263"/>
      <c r="I1365" s="263"/>
      <c r="J1365" s="263"/>
      <c r="K1365" s="263"/>
      <c r="L1365" s="263"/>
      <c r="M1365" s="263"/>
      <c r="N1365" s="263"/>
      <c r="O1365" s="263"/>
      <c r="P1365" s="263"/>
      <c r="Q1365" s="263"/>
      <c r="R1365" s="263"/>
      <c r="S1365" s="263"/>
      <c r="T1365" s="263"/>
      <c r="U1365" s="263"/>
    </row>
    <row r="1369" spans="7:23" x14ac:dyDescent="0.25">
      <c r="W1369" s="263"/>
    </row>
    <row r="1370" spans="7:23" x14ac:dyDescent="0.25">
      <c r="G1370" s="263"/>
      <c r="H1370" s="263"/>
      <c r="I1370" s="263"/>
      <c r="J1370" s="263"/>
      <c r="K1370" s="263"/>
      <c r="L1370" s="263"/>
      <c r="M1370" s="263"/>
      <c r="N1370" s="263"/>
      <c r="O1370" s="263"/>
      <c r="P1370" s="263"/>
      <c r="Q1370" s="263"/>
      <c r="R1370" s="263"/>
      <c r="S1370" s="263"/>
      <c r="T1370" s="263"/>
      <c r="U1370" s="263"/>
      <c r="W1370" s="263"/>
    </row>
    <row r="1371" spans="7:23" x14ac:dyDescent="0.25">
      <c r="G1371" s="263"/>
      <c r="H1371" s="263"/>
      <c r="I1371" s="263"/>
      <c r="J1371" s="263"/>
      <c r="K1371" s="263"/>
      <c r="L1371" s="263"/>
      <c r="M1371" s="263"/>
      <c r="N1371" s="263"/>
      <c r="O1371" s="263"/>
      <c r="P1371" s="263"/>
      <c r="Q1371" s="263"/>
      <c r="R1371" s="263"/>
      <c r="S1371" s="263"/>
      <c r="T1371" s="263"/>
      <c r="U1371" s="263"/>
    </row>
    <row r="1373" spans="7:23" x14ac:dyDescent="0.25">
      <c r="W1373" s="263"/>
    </row>
    <row r="1374" spans="7:23" x14ac:dyDescent="0.25">
      <c r="G1374" s="263"/>
      <c r="H1374" s="263"/>
      <c r="I1374" s="263"/>
      <c r="J1374" s="263"/>
      <c r="K1374" s="263"/>
      <c r="L1374" s="263"/>
      <c r="M1374" s="263"/>
      <c r="N1374" s="263"/>
      <c r="O1374" s="263"/>
      <c r="P1374" s="263"/>
      <c r="Q1374" s="263"/>
      <c r="R1374" s="263"/>
      <c r="S1374" s="263"/>
      <c r="T1374" s="263"/>
      <c r="U1374" s="263"/>
    </row>
    <row r="1378" spans="7:23" x14ac:dyDescent="0.25">
      <c r="W1378" s="263"/>
    </row>
    <row r="1379" spans="7:23" x14ac:dyDescent="0.25">
      <c r="G1379" s="263"/>
      <c r="H1379" s="263"/>
      <c r="I1379" s="263"/>
      <c r="J1379" s="263"/>
      <c r="K1379" s="263"/>
      <c r="L1379" s="263"/>
      <c r="M1379" s="263"/>
      <c r="N1379" s="263"/>
      <c r="O1379" s="263"/>
      <c r="P1379" s="263"/>
      <c r="Q1379" s="263"/>
      <c r="R1379" s="263"/>
      <c r="S1379" s="263"/>
      <c r="T1379" s="263"/>
      <c r="U1379" s="263"/>
      <c r="W1379" s="263"/>
    </row>
    <row r="1380" spans="7:23" x14ac:dyDescent="0.25">
      <c r="G1380" s="263"/>
      <c r="H1380" s="263"/>
      <c r="I1380" s="263"/>
      <c r="J1380" s="263"/>
      <c r="K1380" s="263"/>
      <c r="L1380" s="263"/>
      <c r="M1380" s="263"/>
      <c r="N1380" s="263"/>
      <c r="O1380" s="263"/>
      <c r="P1380" s="263"/>
      <c r="Q1380" s="263"/>
      <c r="R1380" s="263"/>
      <c r="S1380" s="263"/>
      <c r="T1380" s="263"/>
      <c r="U1380" s="263"/>
      <c r="W1380" s="263"/>
    </row>
    <row r="1381" spans="7:23" x14ac:dyDescent="0.25">
      <c r="G1381" s="263"/>
      <c r="H1381" s="263"/>
      <c r="I1381" s="263"/>
      <c r="J1381" s="263"/>
      <c r="K1381" s="263"/>
      <c r="L1381" s="263"/>
      <c r="M1381" s="263"/>
      <c r="N1381" s="263"/>
      <c r="O1381" s="263"/>
      <c r="P1381" s="263"/>
      <c r="Q1381" s="263"/>
      <c r="R1381" s="263"/>
      <c r="S1381" s="263"/>
      <c r="T1381" s="263"/>
      <c r="U1381" s="263"/>
      <c r="W1381" s="263"/>
    </row>
    <row r="1382" spans="7:23" x14ac:dyDescent="0.25"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3"/>
      <c r="Q1382" s="263"/>
      <c r="R1382" s="263"/>
      <c r="S1382" s="263"/>
      <c r="T1382" s="263"/>
      <c r="U1382" s="263"/>
      <c r="W1382" s="263"/>
    </row>
    <row r="1383" spans="7:23" x14ac:dyDescent="0.25">
      <c r="G1383" s="263"/>
      <c r="H1383" s="263"/>
      <c r="I1383" s="263"/>
      <c r="J1383" s="263"/>
      <c r="K1383" s="263"/>
      <c r="L1383" s="263"/>
      <c r="M1383" s="263"/>
      <c r="N1383" s="263"/>
      <c r="O1383" s="263"/>
      <c r="P1383" s="263"/>
      <c r="Q1383" s="263"/>
      <c r="R1383" s="263"/>
      <c r="S1383" s="263"/>
      <c r="T1383" s="263"/>
      <c r="U1383" s="263"/>
      <c r="W1383" s="263"/>
    </row>
    <row r="1384" spans="7:23" x14ac:dyDescent="0.25">
      <c r="G1384" s="263"/>
      <c r="H1384" s="263"/>
      <c r="I1384" s="263"/>
      <c r="J1384" s="263"/>
      <c r="K1384" s="263"/>
      <c r="L1384" s="263"/>
      <c r="M1384" s="263"/>
      <c r="N1384" s="263"/>
      <c r="O1384" s="263"/>
      <c r="P1384" s="263"/>
      <c r="Q1384" s="263"/>
      <c r="R1384" s="263"/>
      <c r="S1384" s="263"/>
      <c r="T1384" s="263"/>
      <c r="U1384" s="263"/>
    </row>
    <row r="1386" spans="7:23" x14ac:dyDescent="0.25">
      <c r="W1386" s="263"/>
    </row>
    <row r="1387" spans="7:23" x14ac:dyDescent="0.25">
      <c r="G1387" s="263"/>
      <c r="H1387" s="263"/>
      <c r="I1387" s="263"/>
      <c r="J1387" s="263"/>
      <c r="K1387" s="263"/>
      <c r="L1387" s="263"/>
      <c r="M1387" s="263"/>
      <c r="N1387" s="263"/>
      <c r="O1387" s="263"/>
      <c r="P1387" s="263"/>
      <c r="Q1387" s="263"/>
      <c r="R1387" s="263"/>
      <c r="S1387" s="263"/>
      <c r="T1387" s="263"/>
      <c r="U1387" s="263"/>
    </row>
    <row r="1389" spans="7:23" x14ac:dyDescent="0.25">
      <c r="W1389" s="263"/>
    </row>
    <row r="1390" spans="7:23" x14ac:dyDescent="0.25">
      <c r="G1390" s="263"/>
      <c r="H1390" s="263"/>
      <c r="I1390" s="263"/>
      <c r="J1390" s="263"/>
      <c r="K1390" s="263"/>
      <c r="L1390" s="263"/>
      <c r="M1390" s="263"/>
      <c r="N1390" s="263"/>
      <c r="O1390" s="263"/>
      <c r="P1390" s="263"/>
      <c r="Q1390" s="263"/>
      <c r="R1390" s="263"/>
      <c r="S1390" s="263"/>
      <c r="T1390" s="263"/>
      <c r="U1390" s="263"/>
    </row>
    <row r="1394" spans="7:23" x14ac:dyDescent="0.25">
      <c r="W1394" s="263"/>
    </row>
    <row r="1395" spans="7:23" x14ac:dyDescent="0.25">
      <c r="G1395" s="263"/>
      <c r="H1395" s="263"/>
      <c r="I1395" s="263"/>
      <c r="J1395" s="263"/>
      <c r="K1395" s="263"/>
      <c r="L1395" s="263"/>
      <c r="M1395" s="263"/>
      <c r="N1395" s="263"/>
      <c r="O1395" s="263"/>
      <c r="P1395" s="263"/>
      <c r="Q1395" s="263"/>
      <c r="R1395" s="263"/>
      <c r="S1395" s="263"/>
      <c r="T1395" s="263"/>
      <c r="U1395" s="263"/>
      <c r="W1395" s="263"/>
    </row>
    <row r="1396" spans="7:23" x14ac:dyDescent="0.25">
      <c r="G1396" s="263"/>
      <c r="H1396" s="263"/>
      <c r="I1396" s="263"/>
      <c r="J1396" s="263"/>
      <c r="K1396" s="263"/>
      <c r="L1396" s="263"/>
      <c r="M1396" s="263"/>
      <c r="N1396" s="263"/>
      <c r="O1396" s="263"/>
      <c r="P1396" s="263"/>
      <c r="Q1396" s="263"/>
      <c r="R1396" s="263"/>
      <c r="S1396" s="263"/>
      <c r="T1396" s="263"/>
      <c r="U1396" s="263"/>
    </row>
    <row r="1398" spans="7:23" x14ac:dyDescent="0.25">
      <c r="W1398" s="263"/>
    </row>
    <row r="1399" spans="7:23" x14ac:dyDescent="0.25">
      <c r="G1399" s="263"/>
      <c r="H1399" s="263"/>
      <c r="I1399" s="263"/>
      <c r="J1399" s="263"/>
      <c r="K1399" s="263"/>
      <c r="L1399" s="263"/>
      <c r="M1399" s="263"/>
      <c r="N1399" s="263"/>
      <c r="O1399" s="263"/>
      <c r="P1399" s="263"/>
      <c r="Q1399" s="263"/>
      <c r="R1399" s="263"/>
      <c r="S1399" s="263"/>
      <c r="T1399" s="263"/>
      <c r="U1399" s="263"/>
      <c r="W1399" s="263"/>
    </row>
    <row r="1400" spans="7:23" x14ac:dyDescent="0.25">
      <c r="G1400" s="263"/>
      <c r="H1400" s="263"/>
      <c r="I1400" s="263"/>
      <c r="J1400" s="263"/>
      <c r="K1400" s="263"/>
      <c r="L1400" s="263"/>
      <c r="M1400" s="263"/>
      <c r="N1400" s="263"/>
      <c r="O1400" s="263"/>
      <c r="P1400" s="263"/>
      <c r="Q1400" s="263"/>
      <c r="R1400" s="263"/>
      <c r="S1400" s="263"/>
      <c r="T1400" s="263"/>
      <c r="U1400" s="263"/>
      <c r="W1400" s="263"/>
    </row>
    <row r="1401" spans="7:23" x14ac:dyDescent="0.25">
      <c r="G1401" s="263"/>
      <c r="H1401" s="263"/>
      <c r="I1401" s="263"/>
      <c r="J1401" s="263"/>
      <c r="K1401" s="263"/>
      <c r="L1401" s="263"/>
      <c r="M1401" s="263"/>
      <c r="N1401" s="263"/>
      <c r="O1401" s="263"/>
      <c r="P1401" s="263"/>
      <c r="Q1401" s="263"/>
      <c r="R1401" s="263"/>
      <c r="S1401" s="263"/>
      <c r="T1401" s="263"/>
      <c r="U1401" s="263"/>
    </row>
    <row r="1405" spans="7:23" x14ac:dyDescent="0.25">
      <c r="W1405" s="263"/>
    </row>
    <row r="1406" spans="7:23" x14ac:dyDescent="0.25">
      <c r="G1406" s="263"/>
      <c r="H1406" s="263"/>
      <c r="I1406" s="263"/>
      <c r="J1406" s="263"/>
      <c r="K1406" s="263"/>
      <c r="L1406" s="263"/>
      <c r="M1406" s="263"/>
      <c r="N1406" s="263"/>
      <c r="O1406" s="263"/>
      <c r="P1406" s="263"/>
      <c r="Q1406" s="263"/>
      <c r="R1406" s="263"/>
      <c r="S1406" s="263"/>
      <c r="T1406" s="263"/>
      <c r="U1406" s="263"/>
      <c r="W1406" s="263"/>
    </row>
    <row r="1407" spans="7:23" x14ac:dyDescent="0.25">
      <c r="G1407" s="263"/>
      <c r="H1407" s="263"/>
      <c r="I1407" s="263"/>
      <c r="J1407" s="263"/>
      <c r="K1407" s="263"/>
      <c r="L1407" s="263"/>
      <c r="M1407" s="263"/>
      <c r="N1407" s="263"/>
      <c r="O1407" s="263"/>
      <c r="P1407" s="263"/>
      <c r="Q1407" s="263"/>
      <c r="R1407" s="263"/>
      <c r="S1407" s="263"/>
      <c r="T1407" s="263"/>
      <c r="U1407" s="263"/>
      <c r="W1407" s="263"/>
    </row>
    <row r="1408" spans="7:23" x14ac:dyDescent="0.25">
      <c r="G1408" s="263"/>
      <c r="H1408" s="263"/>
      <c r="I1408" s="263"/>
      <c r="J1408" s="263"/>
      <c r="K1408" s="263"/>
      <c r="L1408" s="263"/>
      <c r="M1408" s="263"/>
      <c r="N1408" s="263"/>
      <c r="O1408" s="263"/>
      <c r="P1408" s="263"/>
      <c r="Q1408" s="263"/>
      <c r="R1408" s="263"/>
      <c r="S1408" s="263"/>
      <c r="T1408" s="263"/>
      <c r="U1408" s="263"/>
      <c r="W1408" s="263"/>
    </row>
    <row r="1409" spans="7:23" x14ac:dyDescent="0.25">
      <c r="G1409" s="263"/>
      <c r="H1409" s="263"/>
      <c r="I1409" s="263"/>
      <c r="J1409" s="263"/>
      <c r="K1409" s="263"/>
      <c r="L1409" s="263"/>
      <c r="M1409" s="263"/>
      <c r="N1409" s="263"/>
      <c r="O1409" s="263"/>
      <c r="P1409" s="263"/>
      <c r="Q1409" s="263"/>
      <c r="R1409" s="263"/>
      <c r="S1409" s="263"/>
      <c r="T1409" s="263"/>
      <c r="U1409" s="263"/>
      <c r="W1409" s="263"/>
    </row>
    <row r="1410" spans="7:23" x14ac:dyDescent="0.25">
      <c r="G1410" s="263"/>
      <c r="H1410" s="263"/>
      <c r="I1410" s="263"/>
      <c r="J1410" s="263"/>
      <c r="K1410" s="263"/>
      <c r="L1410" s="263"/>
      <c r="M1410" s="263"/>
      <c r="N1410" s="263"/>
      <c r="O1410" s="263"/>
      <c r="P1410" s="263"/>
      <c r="Q1410" s="263"/>
      <c r="R1410" s="263"/>
      <c r="S1410" s="263"/>
      <c r="T1410" s="263"/>
      <c r="U1410" s="263"/>
      <c r="W1410" s="263"/>
    </row>
    <row r="1411" spans="7:23" x14ac:dyDescent="0.25">
      <c r="G1411" s="263"/>
      <c r="H1411" s="263"/>
      <c r="I1411" s="263"/>
      <c r="J1411" s="263"/>
      <c r="K1411" s="263"/>
      <c r="L1411" s="263"/>
      <c r="M1411" s="263"/>
      <c r="N1411" s="263"/>
      <c r="O1411" s="263"/>
      <c r="P1411" s="263"/>
      <c r="Q1411" s="263"/>
      <c r="R1411" s="263"/>
      <c r="S1411" s="263"/>
      <c r="T1411" s="263"/>
      <c r="U1411" s="263"/>
      <c r="W1411" s="263"/>
    </row>
    <row r="1412" spans="7:23" x14ac:dyDescent="0.25">
      <c r="G1412" s="263"/>
      <c r="H1412" s="263"/>
      <c r="I1412" s="263"/>
      <c r="J1412" s="263"/>
      <c r="K1412" s="263"/>
      <c r="L1412" s="263"/>
      <c r="M1412" s="263"/>
      <c r="N1412" s="263"/>
      <c r="O1412" s="263"/>
      <c r="P1412" s="263"/>
      <c r="Q1412" s="263"/>
      <c r="R1412" s="263"/>
      <c r="S1412" s="263"/>
      <c r="T1412" s="263"/>
      <c r="U1412" s="263"/>
      <c r="W1412" s="263"/>
    </row>
    <row r="1413" spans="7:23" x14ac:dyDescent="0.25">
      <c r="G1413" s="263"/>
      <c r="H1413" s="263"/>
      <c r="I1413" s="263"/>
      <c r="J1413" s="263"/>
      <c r="K1413" s="263"/>
      <c r="L1413" s="263"/>
      <c r="M1413" s="263"/>
      <c r="N1413" s="263"/>
      <c r="O1413" s="263"/>
      <c r="P1413" s="263"/>
      <c r="Q1413" s="263"/>
      <c r="R1413" s="263"/>
      <c r="S1413" s="263"/>
      <c r="T1413" s="263"/>
      <c r="U1413" s="263"/>
      <c r="W1413" s="263"/>
    </row>
    <row r="1414" spans="7:23" x14ac:dyDescent="0.25">
      <c r="G1414" s="263"/>
      <c r="H1414" s="263"/>
      <c r="I1414" s="263"/>
      <c r="J1414" s="263"/>
      <c r="K1414" s="263"/>
      <c r="L1414" s="263"/>
      <c r="M1414" s="263"/>
      <c r="N1414" s="263"/>
      <c r="O1414" s="263"/>
      <c r="P1414" s="263"/>
      <c r="Q1414" s="263"/>
      <c r="R1414" s="263"/>
      <c r="S1414" s="263"/>
      <c r="T1414" s="263"/>
      <c r="U1414" s="263"/>
      <c r="W1414" s="263"/>
    </row>
    <row r="1415" spans="7:23" x14ac:dyDescent="0.25">
      <c r="G1415" s="263"/>
      <c r="H1415" s="263"/>
      <c r="I1415" s="263"/>
      <c r="J1415" s="263"/>
      <c r="K1415" s="263"/>
      <c r="L1415" s="263"/>
      <c r="M1415" s="263"/>
      <c r="N1415" s="263"/>
      <c r="O1415" s="263"/>
      <c r="P1415" s="263"/>
      <c r="Q1415" s="263"/>
      <c r="R1415" s="263"/>
      <c r="S1415" s="263"/>
      <c r="T1415" s="263"/>
      <c r="U1415" s="263"/>
    </row>
    <row r="1417" spans="7:23" x14ac:dyDescent="0.25">
      <c r="W1417" s="263"/>
    </row>
    <row r="1418" spans="7:23" x14ac:dyDescent="0.25">
      <c r="G1418" s="263"/>
      <c r="H1418" s="263"/>
      <c r="I1418" s="263"/>
      <c r="J1418" s="263"/>
      <c r="K1418" s="263"/>
      <c r="L1418" s="263"/>
      <c r="M1418" s="263"/>
      <c r="N1418" s="263"/>
      <c r="O1418" s="263"/>
      <c r="P1418" s="263"/>
      <c r="Q1418" s="263"/>
      <c r="R1418" s="263"/>
      <c r="S1418" s="263"/>
      <c r="T1418" s="263"/>
      <c r="U1418" s="263"/>
      <c r="W1418" s="263"/>
    </row>
    <row r="1419" spans="7:23" x14ac:dyDescent="0.25">
      <c r="G1419" s="263"/>
      <c r="H1419" s="263"/>
      <c r="I1419" s="263"/>
      <c r="J1419" s="263"/>
      <c r="K1419" s="263"/>
      <c r="L1419" s="263"/>
      <c r="M1419" s="263"/>
      <c r="N1419" s="263"/>
      <c r="O1419" s="263"/>
      <c r="P1419" s="263"/>
      <c r="Q1419" s="263"/>
      <c r="R1419" s="263"/>
      <c r="S1419" s="263"/>
      <c r="T1419" s="263"/>
      <c r="U1419" s="263"/>
      <c r="W1419" s="263"/>
    </row>
    <row r="1420" spans="7:23" x14ac:dyDescent="0.25">
      <c r="G1420" s="263"/>
      <c r="H1420" s="263"/>
      <c r="I1420" s="263"/>
      <c r="J1420" s="263"/>
      <c r="K1420" s="263"/>
      <c r="L1420" s="263"/>
      <c r="M1420" s="263"/>
      <c r="N1420" s="263"/>
      <c r="O1420" s="263"/>
      <c r="P1420" s="263"/>
      <c r="Q1420" s="263"/>
      <c r="R1420" s="263"/>
      <c r="S1420" s="263"/>
      <c r="T1420" s="263"/>
      <c r="U1420" s="263"/>
      <c r="W1420" s="263"/>
    </row>
    <row r="1421" spans="7:23" x14ac:dyDescent="0.25">
      <c r="G1421" s="263"/>
      <c r="H1421" s="263"/>
      <c r="I1421" s="263"/>
      <c r="J1421" s="263"/>
      <c r="K1421" s="263"/>
      <c r="L1421" s="263"/>
      <c r="M1421" s="263"/>
      <c r="N1421" s="263"/>
      <c r="O1421" s="263"/>
      <c r="P1421" s="263"/>
      <c r="Q1421" s="263"/>
      <c r="R1421" s="263"/>
      <c r="S1421" s="263"/>
      <c r="T1421" s="263"/>
      <c r="U1421" s="263"/>
      <c r="W1421" s="263"/>
    </row>
    <row r="1422" spans="7:23" x14ac:dyDescent="0.25">
      <c r="G1422" s="263"/>
      <c r="H1422" s="263"/>
      <c r="I1422" s="263"/>
      <c r="J1422" s="263"/>
      <c r="K1422" s="263"/>
      <c r="L1422" s="263"/>
      <c r="M1422" s="263"/>
      <c r="N1422" s="263"/>
      <c r="O1422" s="263"/>
      <c r="P1422" s="263"/>
      <c r="Q1422" s="263"/>
      <c r="R1422" s="263"/>
      <c r="S1422" s="263"/>
      <c r="T1422" s="263"/>
      <c r="U1422" s="263"/>
      <c r="W1422" s="263"/>
    </row>
    <row r="1423" spans="7:23" x14ac:dyDescent="0.25">
      <c r="G1423" s="263"/>
      <c r="H1423" s="263"/>
      <c r="I1423" s="263"/>
      <c r="J1423" s="263"/>
      <c r="K1423" s="263"/>
      <c r="L1423" s="263"/>
      <c r="M1423" s="263"/>
      <c r="N1423" s="263"/>
      <c r="O1423" s="263"/>
      <c r="P1423" s="263"/>
      <c r="Q1423" s="263"/>
      <c r="R1423" s="263"/>
      <c r="S1423" s="263"/>
      <c r="T1423" s="263"/>
      <c r="U1423" s="263"/>
      <c r="W1423" s="263"/>
    </row>
    <row r="1424" spans="7:23" x14ac:dyDescent="0.25">
      <c r="G1424" s="263"/>
      <c r="H1424" s="263"/>
      <c r="I1424" s="263"/>
      <c r="J1424" s="263"/>
      <c r="K1424" s="263"/>
      <c r="L1424" s="263"/>
      <c r="M1424" s="263"/>
      <c r="N1424" s="263"/>
      <c r="O1424" s="263"/>
      <c r="P1424" s="263"/>
      <c r="Q1424" s="263"/>
      <c r="R1424" s="263"/>
      <c r="S1424" s="263"/>
      <c r="T1424" s="263"/>
      <c r="U1424" s="263"/>
      <c r="W1424" s="263"/>
    </row>
    <row r="1425" spans="7:23" x14ac:dyDescent="0.25">
      <c r="G1425" s="263"/>
      <c r="H1425" s="263"/>
      <c r="I1425" s="263"/>
      <c r="J1425" s="263"/>
      <c r="K1425" s="263"/>
      <c r="L1425" s="263"/>
      <c r="M1425" s="263"/>
      <c r="N1425" s="263"/>
      <c r="O1425" s="263"/>
      <c r="P1425" s="263"/>
      <c r="Q1425" s="263"/>
      <c r="R1425" s="263"/>
      <c r="S1425" s="263"/>
      <c r="T1425" s="263"/>
      <c r="U1425" s="263"/>
      <c r="W1425" s="263"/>
    </row>
    <row r="1426" spans="7:23" x14ac:dyDescent="0.25">
      <c r="G1426" s="263"/>
      <c r="H1426" s="263"/>
      <c r="I1426" s="263"/>
      <c r="J1426" s="263"/>
      <c r="K1426" s="263"/>
      <c r="L1426" s="263"/>
      <c r="M1426" s="263"/>
      <c r="N1426" s="263"/>
      <c r="O1426" s="263"/>
      <c r="P1426" s="263"/>
      <c r="Q1426" s="263"/>
      <c r="R1426" s="263"/>
      <c r="S1426" s="263"/>
      <c r="T1426" s="263"/>
      <c r="U1426" s="263"/>
      <c r="W1426" s="263"/>
    </row>
    <row r="1427" spans="7:23" x14ac:dyDescent="0.25">
      <c r="G1427" s="263"/>
      <c r="H1427" s="263"/>
      <c r="I1427" s="263"/>
      <c r="J1427" s="263"/>
      <c r="K1427" s="263"/>
      <c r="L1427" s="263"/>
      <c r="M1427" s="263"/>
      <c r="N1427" s="263"/>
      <c r="O1427" s="263"/>
      <c r="P1427" s="263"/>
      <c r="Q1427" s="263"/>
      <c r="R1427" s="263"/>
      <c r="S1427" s="263"/>
      <c r="T1427" s="263"/>
      <c r="U1427" s="263"/>
      <c r="W1427" s="263"/>
    </row>
    <row r="1428" spans="7:23" x14ac:dyDescent="0.25"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3"/>
      <c r="Q1428" s="263"/>
      <c r="R1428" s="263"/>
      <c r="S1428" s="263"/>
      <c r="T1428" s="263"/>
      <c r="U1428" s="263"/>
      <c r="W1428" s="263"/>
    </row>
    <row r="1429" spans="7:23" x14ac:dyDescent="0.25">
      <c r="G1429" s="263"/>
      <c r="H1429" s="263"/>
      <c r="I1429" s="263"/>
      <c r="J1429" s="263"/>
      <c r="K1429" s="263"/>
      <c r="L1429" s="263"/>
      <c r="M1429" s="263"/>
      <c r="N1429" s="263"/>
      <c r="O1429" s="263"/>
      <c r="P1429" s="263"/>
      <c r="Q1429" s="263"/>
      <c r="R1429" s="263"/>
      <c r="S1429" s="263"/>
      <c r="T1429" s="263"/>
      <c r="U1429" s="263"/>
      <c r="W1429" s="263"/>
    </row>
    <row r="1430" spans="7:23" x14ac:dyDescent="0.25">
      <c r="G1430" s="263"/>
      <c r="H1430" s="263"/>
      <c r="I1430" s="263"/>
      <c r="J1430" s="263"/>
      <c r="K1430" s="263"/>
      <c r="L1430" s="263"/>
      <c r="M1430" s="263"/>
      <c r="N1430" s="263"/>
      <c r="O1430" s="263"/>
      <c r="P1430" s="263"/>
      <c r="Q1430" s="263"/>
      <c r="R1430" s="263"/>
      <c r="S1430" s="263"/>
      <c r="T1430" s="263"/>
      <c r="U1430" s="263"/>
      <c r="W1430" s="263"/>
    </row>
    <row r="1431" spans="7:23" x14ac:dyDescent="0.25">
      <c r="G1431" s="263"/>
      <c r="H1431" s="263"/>
      <c r="I1431" s="263"/>
      <c r="J1431" s="263"/>
      <c r="K1431" s="263"/>
      <c r="L1431" s="263"/>
      <c r="M1431" s="263"/>
      <c r="N1431" s="263"/>
      <c r="O1431" s="263"/>
      <c r="P1431" s="263"/>
      <c r="Q1431" s="263"/>
      <c r="R1431" s="263"/>
      <c r="S1431" s="263"/>
      <c r="T1431" s="263"/>
      <c r="U1431" s="263"/>
      <c r="W1431" s="263"/>
    </row>
    <row r="1432" spans="7:23" x14ac:dyDescent="0.25">
      <c r="G1432" s="263"/>
      <c r="H1432" s="263"/>
      <c r="I1432" s="263"/>
      <c r="J1432" s="263"/>
      <c r="K1432" s="263"/>
      <c r="L1432" s="263"/>
      <c r="M1432" s="263"/>
      <c r="N1432" s="263"/>
      <c r="O1432" s="263"/>
      <c r="P1432" s="263"/>
      <c r="Q1432" s="263"/>
      <c r="R1432" s="263"/>
      <c r="S1432" s="263"/>
      <c r="T1432" s="263"/>
      <c r="U1432" s="263"/>
      <c r="W1432" s="263"/>
    </row>
    <row r="1433" spans="7:23" x14ac:dyDescent="0.25">
      <c r="G1433" s="263"/>
      <c r="H1433" s="263"/>
      <c r="I1433" s="263"/>
      <c r="J1433" s="263"/>
      <c r="K1433" s="263"/>
      <c r="L1433" s="263"/>
      <c r="M1433" s="263"/>
      <c r="N1433" s="263"/>
      <c r="O1433" s="263"/>
      <c r="P1433" s="263"/>
      <c r="Q1433" s="263"/>
      <c r="R1433" s="263"/>
      <c r="S1433" s="263"/>
      <c r="T1433" s="263"/>
      <c r="U1433" s="263"/>
      <c r="W1433" s="263"/>
    </row>
    <row r="1434" spans="7:23" x14ac:dyDescent="0.25">
      <c r="G1434" s="263"/>
      <c r="H1434" s="263"/>
      <c r="I1434" s="263"/>
      <c r="J1434" s="263"/>
      <c r="K1434" s="263"/>
      <c r="L1434" s="263"/>
      <c r="M1434" s="263"/>
      <c r="N1434" s="263"/>
      <c r="O1434" s="263"/>
      <c r="P1434" s="263"/>
      <c r="Q1434" s="263"/>
      <c r="R1434" s="263"/>
      <c r="S1434" s="263"/>
      <c r="T1434" s="263"/>
      <c r="U1434" s="263"/>
      <c r="W1434" s="263"/>
    </row>
    <row r="1435" spans="7:23" x14ac:dyDescent="0.25">
      <c r="G1435" s="263"/>
      <c r="H1435" s="263"/>
      <c r="I1435" s="263"/>
      <c r="J1435" s="263"/>
      <c r="K1435" s="263"/>
      <c r="L1435" s="263"/>
      <c r="M1435" s="263"/>
      <c r="N1435" s="263"/>
      <c r="O1435" s="263"/>
      <c r="P1435" s="263"/>
      <c r="Q1435" s="263"/>
      <c r="R1435" s="263"/>
      <c r="S1435" s="263"/>
      <c r="T1435" s="263"/>
      <c r="U1435" s="263"/>
      <c r="W1435" s="263"/>
    </row>
    <row r="1436" spans="7:23" x14ac:dyDescent="0.25">
      <c r="G1436" s="263"/>
      <c r="H1436" s="263"/>
      <c r="I1436" s="263"/>
      <c r="J1436" s="263"/>
      <c r="K1436" s="263"/>
      <c r="L1436" s="263"/>
      <c r="M1436" s="263"/>
      <c r="N1436" s="263"/>
      <c r="O1436" s="263"/>
      <c r="P1436" s="263"/>
      <c r="Q1436" s="263"/>
      <c r="R1436" s="263"/>
      <c r="S1436" s="263"/>
      <c r="T1436" s="263"/>
      <c r="U1436" s="263"/>
      <c r="W1436" s="263"/>
    </row>
    <row r="1437" spans="7:23" x14ac:dyDescent="0.25">
      <c r="G1437" s="263"/>
      <c r="H1437" s="263"/>
      <c r="I1437" s="263"/>
      <c r="J1437" s="263"/>
      <c r="K1437" s="263"/>
      <c r="L1437" s="263"/>
      <c r="M1437" s="263"/>
      <c r="N1437" s="263"/>
      <c r="O1437" s="263"/>
      <c r="P1437" s="263"/>
      <c r="Q1437" s="263"/>
      <c r="R1437" s="263"/>
      <c r="S1437" s="263"/>
      <c r="T1437" s="263"/>
      <c r="U1437" s="263"/>
      <c r="W1437" s="263"/>
    </row>
    <row r="1438" spans="7:23" x14ac:dyDescent="0.25">
      <c r="G1438" s="263"/>
      <c r="H1438" s="263"/>
      <c r="I1438" s="263"/>
      <c r="J1438" s="263"/>
      <c r="K1438" s="263"/>
      <c r="L1438" s="263"/>
      <c r="M1438" s="263"/>
      <c r="N1438" s="263"/>
      <c r="O1438" s="263"/>
      <c r="P1438" s="263"/>
      <c r="Q1438" s="263"/>
      <c r="R1438" s="263"/>
      <c r="S1438" s="263"/>
      <c r="T1438" s="263"/>
      <c r="U1438" s="263"/>
      <c r="W1438" s="263"/>
    </row>
    <row r="1439" spans="7:23" x14ac:dyDescent="0.25">
      <c r="G1439" s="263"/>
      <c r="H1439" s="263"/>
      <c r="I1439" s="263"/>
      <c r="J1439" s="263"/>
      <c r="K1439" s="263"/>
      <c r="L1439" s="263"/>
      <c r="M1439" s="263"/>
      <c r="N1439" s="263"/>
      <c r="O1439" s="263"/>
      <c r="P1439" s="263"/>
      <c r="Q1439" s="263"/>
      <c r="R1439" s="263"/>
      <c r="S1439" s="263"/>
      <c r="T1439" s="263"/>
      <c r="U1439" s="263"/>
      <c r="W1439" s="263"/>
    </row>
    <row r="1440" spans="7:23" x14ac:dyDescent="0.25">
      <c r="G1440" s="263"/>
      <c r="H1440" s="263"/>
      <c r="I1440" s="263"/>
      <c r="J1440" s="263"/>
      <c r="K1440" s="263"/>
      <c r="L1440" s="263"/>
      <c r="M1440" s="263"/>
      <c r="N1440" s="263"/>
      <c r="O1440" s="263"/>
      <c r="P1440" s="263"/>
      <c r="Q1440" s="263"/>
      <c r="R1440" s="263"/>
      <c r="S1440" s="263"/>
      <c r="T1440" s="263"/>
      <c r="U1440" s="263"/>
      <c r="W1440" s="263"/>
    </row>
    <row r="1441" spans="7:23" x14ac:dyDescent="0.25">
      <c r="G1441" s="263"/>
      <c r="H1441" s="263"/>
      <c r="I1441" s="263"/>
      <c r="J1441" s="263"/>
      <c r="K1441" s="263"/>
      <c r="L1441" s="263"/>
      <c r="M1441" s="263"/>
      <c r="N1441" s="263"/>
      <c r="O1441" s="263"/>
      <c r="P1441" s="263"/>
      <c r="Q1441" s="263"/>
      <c r="R1441" s="263"/>
      <c r="S1441" s="263"/>
      <c r="T1441" s="263"/>
      <c r="U1441" s="263"/>
    </row>
    <row r="1447" spans="7:23" x14ac:dyDescent="0.25">
      <c r="W1447" s="263"/>
    </row>
    <row r="1448" spans="7:23" x14ac:dyDescent="0.25">
      <c r="G1448" s="263"/>
      <c r="H1448" s="263"/>
      <c r="I1448" s="263"/>
      <c r="J1448" s="263"/>
      <c r="K1448" s="263"/>
      <c r="L1448" s="263"/>
      <c r="M1448" s="263"/>
      <c r="N1448" s="263"/>
      <c r="O1448" s="263"/>
      <c r="P1448" s="263"/>
      <c r="Q1448" s="263"/>
      <c r="R1448" s="263"/>
      <c r="S1448" s="263"/>
      <c r="T1448" s="263"/>
      <c r="U1448" s="263"/>
      <c r="W1448" s="263"/>
    </row>
    <row r="1449" spans="7:23" x14ac:dyDescent="0.25">
      <c r="G1449" s="263"/>
      <c r="H1449" s="263"/>
      <c r="I1449" s="263"/>
      <c r="J1449" s="263"/>
      <c r="K1449" s="263"/>
      <c r="L1449" s="263"/>
      <c r="M1449" s="263"/>
      <c r="N1449" s="263"/>
      <c r="O1449" s="263"/>
      <c r="P1449" s="263"/>
      <c r="Q1449" s="263"/>
      <c r="R1449" s="263"/>
      <c r="S1449" s="263"/>
      <c r="T1449" s="263"/>
      <c r="U1449" s="263"/>
      <c r="W1449" s="263"/>
    </row>
    <row r="1450" spans="7:23" x14ac:dyDescent="0.25">
      <c r="G1450" s="263"/>
      <c r="H1450" s="263"/>
      <c r="I1450" s="263"/>
      <c r="J1450" s="263"/>
      <c r="K1450" s="263"/>
      <c r="L1450" s="263"/>
      <c r="M1450" s="263"/>
      <c r="N1450" s="263"/>
      <c r="O1450" s="263"/>
      <c r="P1450" s="263"/>
      <c r="Q1450" s="263"/>
      <c r="R1450" s="263"/>
      <c r="S1450" s="263"/>
      <c r="T1450" s="263"/>
      <c r="U1450" s="263"/>
      <c r="W1450" s="263"/>
    </row>
    <row r="1451" spans="7:23" x14ac:dyDescent="0.25">
      <c r="G1451" s="263"/>
      <c r="H1451" s="263"/>
      <c r="I1451" s="263"/>
      <c r="J1451" s="263"/>
      <c r="K1451" s="263"/>
      <c r="L1451" s="263"/>
      <c r="M1451" s="263"/>
      <c r="N1451" s="263"/>
      <c r="O1451" s="263"/>
      <c r="P1451" s="263"/>
      <c r="Q1451" s="263"/>
      <c r="R1451" s="263"/>
      <c r="S1451" s="263"/>
      <c r="T1451" s="263"/>
      <c r="U1451" s="263"/>
    </row>
    <row r="1455" spans="7:23" x14ac:dyDescent="0.25">
      <c r="W1455" s="263"/>
    </row>
    <row r="1456" spans="7:23" x14ac:dyDescent="0.25">
      <c r="G1456" s="263"/>
      <c r="H1456" s="263"/>
      <c r="I1456" s="263"/>
      <c r="J1456" s="263"/>
      <c r="K1456" s="263"/>
      <c r="L1456" s="263"/>
      <c r="M1456" s="263"/>
      <c r="N1456" s="263"/>
      <c r="O1456" s="263"/>
      <c r="P1456" s="263"/>
      <c r="Q1456" s="263"/>
      <c r="R1456" s="263"/>
      <c r="S1456" s="263"/>
      <c r="T1456" s="263"/>
      <c r="U1456" s="263"/>
      <c r="W1456" s="263"/>
    </row>
    <row r="1457" spans="7:23" x14ac:dyDescent="0.25">
      <c r="G1457" s="263"/>
      <c r="H1457" s="263"/>
      <c r="I1457" s="263"/>
      <c r="J1457" s="263"/>
      <c r="K1457" s="263"/>
      <c r="L1457" s="263"/>
      <c r="M1457" s="263"/>
      <c r="N1457" s="263"/>
      <c r="O1457" s="263"/>
      <c r="P1457" s="263"/>
      <c r="Q1457" s="263"/>
      <c r="R1457" s="263"/>
      <c r="S1457" s="263"/>
      <c r="T1457" s="263"/>
      <c r="U1457" s="263"/>
      <c r="W1457" s="263"/>
    </row>
    <row r="1458" spans="7:23" x14ac:dyDescent="0.25">
      <c r="G1458" s="263"/>
      <c r="H1458" s="263"/>
      <c r="I1458" s="263"/>
      <c r="J1458" s="263"/>
      <c r="K1458" s="263"/>
      <c r="L1458" s="263"/>
      <c r="M1458" s="263"/>
      <c r="N1458" s="263"/>
      <c r="O1458" s="263"/>
      <c r="P1458" s="263"/>
      <c r="Q1458" s="263"/>
      <c r="R1458" s="263"/>
      <c r="S1458" s="263"/>
      <c r="T1458" s="263"/>
      <c r="U1458" s="263"/>
    </row>
    <row r="1460" spans="7:23" x14ac:dyDescent="0.25">
      <c r="W1460" s="263"/>
    </row>
    <row r="1461" spans="7:23" x14ac:dyDescent="0.25">
      <c r="G1461" s="263"/>
      <c r="H1461" s="263"/>
      <c r="I1461" s="263"/>
      <c r="J1461" s="263"/>
      <c r="K1461" s="263"/>
      <c r="L1461" s="263"/>
      <c r="M1461" s="263"/>
      <c r="N1461" s="263"/>
      <c r="O1461" s="263"/>
      <c r="P1461" s="263"/>
      <c r="Q1461" s="263"/>
      <c r="R1461" s="263"/>
      <c r="S1461" s="263"/>
      <c r="T1461" s="263"/>
      <c r="U1461" s="263"/>
      <c r="W1461" s="263"/>
    </row>
    <row r="1462" spans="7:23" x14ac:dyDescent="0.25">
      <c r="G1462" s="263"/>
      <c r="H1462" s="263"/>
      <c r="I1462" s="263"/>
      <c r="J1462" s="263"/>
      <c r="K1462" s="263"/>
      <c r="L1462" s="263"/>
      <c r="M1462" s="263"/>
      <c r="N1462" s="263"/>
      <c r="O1462" s="263"/>
      <c r="P1462" s="263"/>
      <c r="Q1462" s="263"/>
      <c r="R1462" s="263"/>
      <c r="S1462" s="263"/>
      <c r="T1462" s="263"/>
      <c r="U1462" s="263"/>
      <c r="W1462" s="263"/>
    </row>
    <row r="1463" spans="7:23" x14ac:dyDescent="0.25">
      <c r="G1463" s="263"/>
      <c r="H1463" s="263"/>
      <c r="I1463" s="263"/>
      <c r="J1463" s="263"/>
      <c r="K1463" s="263"/>
      <c r="L1463" s="263"/>
      <c r="M1463" s="263"/>
      <c r="N1463" s="263"/>
      <c r="O1463" s="263"/>
      <c r="P1463" s="263"/>
      <c r="Q1463" s="263"/>
      <c r="R1463" s="263"/>
      <c r="S1463" s="263"/>
      <c r="T1463" s="263"/>
      <c r="U1463" s="263"/>
      <c r="W1463" s="263"/>
    </row>
    <row r="1464" spans="7:23" x14ac:dyDescent="0.25">
      <c r="G1464" s="263"/>
      <c r="H1464" s="263"/>
      <c r="I1464" s="263"/>
      <c r="J1464" s="263"/>
      <c r="K1464" s="263"/>
      <c r="L1464" s="263"/>
      <c r="M1464" s="263"/>
      <c r="N1464" s="263"/>
      <c r="O1464" s="263"/>
      <c r="P1464" s="263"/>
      <c r="Q1464" s="263"/>
      <c r="R1464" s="263"/>
      <c r="S1464" s="263"/>
      <c r="T1464" s="263"/>
      <c r="U1464" s="263"/>
    </row>
    <row r="1466" spans="7:23" x14ac:dyDescent="0.25">
      <c r="W1466" s="263"/>
    </row>
    <row r="1467" spans="7:23" x14ac:dyDescent="0.25">
      <c r="G1467" s="263"/>
      <c r="H1467" s="263"/>
      <c r="I1467" s="263"/>
      <c r="J1467" s="263"/>
      <c r="K1467" s="263"/>
      <c r="L1467" s="263"/>
      <c r="M1467" s="263"/>
      <c r="N1467" s="263"/>
      <c r="O1467" s="263"/>
      <c r="P1467" s="263"/>
      <c r="Q1467" s="263"/>
      <c r="R1467" s="263"/>
      <c r="S1467" s="263"/>
      <c r="T1467" s="263"/>
      <c r="U1467" s="263"/>
    </row>
    <row r="1469" spans="7:23" x14ac:dyDescent="0.25">
      <c r="W1469" s="263"/>
    </row>
    <row r="1470" spans="7:23" x14ac:dyDescent="0.25">
      <c r="G1470" s="263"/>
      <c r="H1470" s="263"/>
      <c r="I1470" s="263"/>
      <c r="J1470" s="263"/>
      <c r="K1470" s="263"/>
      <c r="L1470" s="263"/>
      <c r="M1470" s="263"/>
      <c r="N1470" s="263"/>
      <c r="O1470" s="263"/>
      <c r="P1470" s="263"/>
      <c r="Q1470" s="263"/>
      <c r="R1470" s="263"/>
      <c r="S1470" s="263"/>
      <c r="T1470" s="263"/>
      <c r="U1470" s="263"/>
      <c r="W1470" s="263"/>
    </row>
    <row r="1471" spans="7:23" x14ac:dyDescent="0.25">
      <c r="G1471" s="263"/>
      <c r="H1471" s="263"/>
      <c r="I1471" s="263"/>
      <c r="J1471" s="263"/>
      <c r="K1471" s="263"/>
      <c r="L1471" s="263"/>
      <c r="M1471" s="263"/>
      <c r="N1471" s="263"/>
      <c r="O1471" s="263"/>
      <c r="P1471" s="263"/>
      <c r="Q1471" s="263"/>
      <c r="R1471" s="263"/>
      <c r="S1471" s="263"/>
      <c r="T1471" s="263"/>
      <c r="U1471" s="263"/>
      <c r="W1471" s="263"/>
    </row>
    <row r="1472" spans="7:23" x14ac:dyDescent="0.25">
      <c r="G1472" s="263"/>
      <c r="H1472" s="263"/>
      <c r="I1472" s="263"/>
      <c r="J1472" s="263"/>
      <c r="K1472" s="263"/>
      <c r="L1472" s="263"/>
      <c r="M1472" s="263"/>
      <c r="N1472" s="263"/>
      <c r="O1472" s="263"/>
      <c r="P1472" s="263"/>
      <c r="Q1472" s="263"/>
      <c r="R1472" s="263"/>
      <c r="S1472" s="263"/>
      <c r="T1472" s="263"/>
      <c r="U1472" s="263"/>
      <c r="W1472" s="263"/>
    </row>
    <row r="1473" spans="7:23" x14ac:dyDescent="0.25">
      <c r="G1473" s="263"/>
      <c r="H1473" s="263"/>
      <c r="I1473" s="263"/>
      <c r="J1473" s="263"/>
      <c r="K1473" s="263"/>
      <c r="L1473" s="263"/>
      <c r="M1473" s="263"/>
      <c r="N1473" s="263"/>
      <c r="O1473" s="263"/>
      <c r="P1473" s="263"/>
      <c r="Q1473" s="263"/>
      <c r="R1473" s="263"/>
      <c r="S1473" s="263"/>
      <c r="T1473" s="263"/>
      <c r="U1473" s="263"/>
      <c r="W1473" s="263"/>
    </row>
    <row r="1474" spans="7:23" x14ac:dyDescent="0.25">
      <c r="G1474" s="263"/>
      <c r="H1474" s="263"/>
      <c r="I1474" s="263"/>
      <c r="J1474" s="263"/>
      <c r="K1474" s="263"/>
      <c r="L1474" s="263"/>
      <c r="M1474" s="263"/>
      <c r="N1474" s="263"/>
      <c r="O1474" s="263"/>
      <c r="P1474" s="263"/>
      <c r="Q1474" s="263"/>
      <c r="R1474" s="263"/>
      <c r="S1474" s="263"/>
      <c r="T1474" s="263"/>
      <c r="U1474" s="263"/>
    </row>
    <row r="1476" spans="7:23" x14ac:dyDescent="0.25">
      <c r="W1476" s="263"/>
    </row>
    <row r="1477" spans="7:23" x14ac:dyDescent="0.25">
      <c r="G1477" s="263"/>
      <c r="H1477" s="263"/>
      <c r="I1477" s="263"/>
      <c r="J1477" s="263"/>
      <c r="K1477" s="263"/>
      <c r="L1477" s="263"/>
      <c r="M1477" s="263"/>
      <c r="N1477" s="263"/>
      <c r="O1477" s="263"/>
      <c r="P1477" s="263"/>
      <c r="Q1477" s="263"/>
      <c r="R1477" s="263"/>
      <c r="S1477" s="263"/>
      <c r="T1477" s="263"/>
      <c r="U1477" s="263"/>
      <c r="W1477" s="263"/>
    </row>
    <row r="1478" spans="7:23" x14ac:dyDescent="0.25">
      <c r="G1478" s="263"/>
      <c r="H1478" s="263"/>
      <c r="I1478" s="263"/>
      <c r="J1478" s="263"/>
      <c r="K1478" s="263"/>
      <c r="L1478" s="263"/>
      <c r="M1478" s="263"/>
      <c r="N1478" s="263"/>
      <c r="O1478" s="263"/>
      <c r="P1478" s="263"/>
      <c r="Q1478" s="263"/>
      <c r="R1478" s="263"/>
      <c r="S1478" s="263"/>
      <c r="T1478" s="263"/>
      <c r="U1478" s="263"/>
      <c r="W1478" s="263"/>
    </row>
    <row r="1479" spans="7:23" x14ac:dyDescent="0.25">
      <c r="G1479" s="263"/>
      <c r="H1479" s="263"/>
      <c r="I1479" s="263"/>
      <c r="J1479" s="263"/>
      <c r="K1479" s="263"/>
      <c r="L1479" s="263"/>
      <c r="M1479" s="263"/>
      <c r="N1479" s="263"/>
      <c r="O1479" s="263"/>
      <c r="P1479" s="263"/>
      <c r="Q1479" s="263"/>
      <c r="R1479" s="263"/>
      <c r="S1479" s="263"/>
      <c r="T1479" s="263"/>
      <c r="U1479" s="263"/>
      <c r="W1479" s="263"/>
    </row>
    <row r="1480" spans="7:23" x14ac:dyDescent="0.25">
      <c r="G1480" s="263"/>
      <c r="H1480" s="263"/>
      <c r="I1480" s="263"/>
      <c r="J1480" s="263"/>
      <c r="K1480" s="263"/>
      <c r="L1480" s="263"/>
      <c r="M1480" s="263"/>
      <c r="N1480" s="263"/>
      <c r="O1480" s="263"/>
      <c r="P1480" s="263"/>
      <c r="Q1480" s="263"/>
      <c r="R1480" s="263"/>
      <c r="S1480" s="263"/>
      <c r="T1480" s="263"/>
      <c r="U1480" s="263"/>
    </row>
    <row r="1482" spans="7:23" x14ac:dyDescent="0.25">
      <c r="W1482" s="263"/>
    </row>
    <row r="1483" spans="7:23" x14ac:dyDescent="0.25">
      <c r="G1483" s="263"/>
      <c r="H1483" s="263"/>
      <c r="I1483" s="263"/>
      <c r="J1483" s="263"/>
      <c r="K1483" s="263"/>
      <c r="L1483" s="263"/>
      <c r="M1483" s="263"/>
      <c r="N1483" s="263"/>
      <c r="O1483" s="263"/>
      <c r="P1483" s="263"/>
      <c r="Q1483" s="263"/>
      <c r="R1483" s="263"/>
      <c r="S1483" s="263"/>
      <c r="T1483" s="263"/>
      <c r="U1483" s="263"/>
      <c r="W1483" s="263"/>
    </row>
    <row r="1484" spans="7:23" x14ac:dyDescent="0.25">
      <c r="G1484" s="263"/>
      <c r="H1484" s="263"/>
      <c r="I1484" s="263"/>
      <c r="J1484" s="263"/>
      <c r="K1484" s="263"/>
      <c r="L1484" s="263"/>
      <c r="M1484" s="263"/>
      <c r="N1484" s="263"/>
      <c r="O1484" s="263"/>
      <c r="P1484" s="263"/>
      <c r="Q1484" s="263"/>
      <c r="R1484" s="263"/>
      <c r="S1484" s="263"/>
      <c r="T1484" s="263"/>
      <c r="U1484" s="263"/>
      <c r="W1484" s="263"/>
    </row>
    <row r="1485" spans="7:23" x14ac:dyDescent="0.25">
      <c r="G1485" s="263"/>
      <c r="H1485" s="263"/>
      <c r="I1485" s="263"/>
      <c r="J1485" s="263"/>
      <c r="K1485" s="263"/>
      <c r="L1485" s="263"/>
      <c r="M1485" s="263"/>
      <c r="N1485" s="263"/>
      <c r="O1485" s="263"/>
      <c r="P1485" s="263"/>
      <c r="Q1485" s="263"/>
      <c r="R1485" s="263"/>
      <c r="S1485" s="263"/>
      <c r="T1485" s="263"/>
      <c r="U1485" s="263"/>
      <c r="W1485" s="263"/>
    </row>
    <row r="1486" spans="7:23" x14ac:dyDescent="0.25">
      <c r="G1486" s="263"/>
      <c r="H1486" s="263"/>
      <c r="I1486" s="263"/>
      <c r="J1486" s="263"/>
      <c r="K1486" s="263"/>
      <c r="L1486" s="263"/>
      <c r="M1486" s="263"/>
      <c r="N1486" s="263"/>
      <c r="O1486" s="263"/>
      <c r="P1486" s="263"/>
      <c r="Q1486" s="263"/>
      <c r="R1486" s="263"/>
      <c r="S1486" s="263"/>
      <c r="T1486" s="263"/>
      <c r="U1486" s="263"/>
      <c r="W1486" s="263"/>
    </row>
    <row r="1487" spans="7:23" x14ac:dyDescent="0.25">
      <c r="G1487" s="263"/>
      <c r="H1487" s="263"/>
      <c r="I1487" s="263"/>
      <c r="J1487" s="263"/>
      <c r="K1487" s="263"/>
      <c r="L1487" s="263"/>
      <c r="M1487" s="263"/>
      <c r="N1487" s="263"/>
      <c r="O1487" s="263"/>
      <c r="P1487" s="263"/>
      <c r="Q1487" s="263"/>
      <c r="R1487" s="263"/>
      <c r="S1487" s="263"/>
      <c r="T1487" s="263"/>
      <c r="U1487" s="263"/>
      <c r="W1487" s="263"/>
    </row>
    <row r="1488" spans="7:23" x14ac:dyDescent="0.25">
      <c r="G1488" s="263"/>
      <c r="H1488" s="263"/>
      <c r="I1488" s="263"/>
      <c r="J1488" s="263"/>
      <c r="K1488" s="263"/>
      <c r="L1488" s="263"/>
      <c r="M1488" s="263"/>
      <c r="N1488" s="263"/>
      <c r="O1488" s="263"/>
      <c r="P1488" s="263"/>
      <c r="Q1488" s="263"/>
      <c r="R1488" s="263"/>
      <c r="S1488" s="263"/>
      <c r="T1488" s="263"/>
      <c r="U1488" s="263"/>
      <c r="W1488" s="263"/>
    </row>
    <row r="1489" spans="7:23" x14ac:dyDescent="0.25">
      <c r="G1489" s="263"/>
      <c r="H1489" s="263"/>
      <c r="I1489" s="263"/>
      <c r="J1489" s="263"/>
      <c r="K1489" s="263"/>
      <c r="L1489" s="263"/>
      <c r="M1489" s="263"/>
      <c r="N1489" s="263"/>
      <c r="O1489" s="263"/>
      <c r="P1489" s="263"/>
      <c r="Q1489" s="263"/>
      <c r="R1489" s="263"/>
      <c r="S1489" s="263"/>
      <c r="T1489" s="263"/>
      <c r="U1489" s="263"/>
    </row>
    <row r="1491" spans="7:23" x14ac:dyDescent="0.25">
      <c r="W1491" s="263"/>
    </row>
    <row r="1492" spans="7:23" x14ac:dyDescent="0.25">
      <c r="G1492" s="263"/>
      <c r="H1492" s="263"/>
      <c r="I1492" s="263"/>
      <c r="J1492" s="263"/>
      <c r="K1492" s="263"/>
      <c r="L1492" s="263"/>
      <c r="M1492" s="263"/>
      <c r="N1492" s="263"/>
      <c r="O1492" s="263"/>
      <c r="P1492" s="263"/>
      <c r="Q1492" s="263"/>
      <c r="R1492" s="263"/>
      <c r="S1492" s="263"/>
      <c r="T1492" s="263"/>
      <c r="U1492" s="263"/>
      <c r="W1492" s="263"/>
    </row>
    <row r="1493" spans="7:23" x14ac:dyDescent="0.25">
      <c r="G1493" s="263"/>
      <c r="H1493" s="263"/>
      <c r="I1493" s="263"/>
      <c r="J1493" s="263"/>
      <c r="K1493" s="263"/>
      <c r="L1493" s="263"/>
      <c r="M1493" s="263"/>
      <c r="N1493" s="263"/>
      <c r="O1493" s="263"/>
      <c r="P1493" s="263"/>
      <c r="Q1493" s="263"/>
      <c r="R1493" s="263"/>
      <c r="S1493" s="263"/>
      <c r="T1493" s="263"/>
      <c r="U1493" s="263"/>
    </row>
    <row r="1495" spans="7:23" x14ac:dyDescent="0.25">
      <c r="W1495" s="263"/>
    </row>
    <row r="1496" spans="7:23" x14ac:dyDescent="0.25">
      <c r="G1496" s="263"/>
      <c r="H1496" s="263"/>
      <c r="I1496" s="263"/>
      <c r="J1496" s="263"/>
      <c r="K1496" s="263"/>
      <c r="L1496" s="263"/>
      <c r="M1496" s="263"/>
      <c r="N1496" s="263"/>
      <c r="O1496" s="263"/>
      <c r="P1496" s="263"/>
      <c r="Q1496" s="263"/>
      <c r="R1496" s="263"/>
      <c r="S1496" s="263"/>
      <c r="T1496" s="263"/>
      <c r="U1496" s="263"/>
    </row>
    <row r="1498" spans="7:23" x14ac:dyDescent="0.25">
      <c r="W1498" s="263"/>
    </row>
    <row r="1499" spans="7:23" x14ac:dyDescent="0.25">
      <c r="G1499" s="263"/>
      <c r="H1499" s="263"/>
      <c r="I1499" s="263"/>
      <c r="J1499" s="263"/>
      <c r="K1499" s="263"/>
      <c r="L1499" s="263"/>
      <c r="M1499" s="263"/>
      <c r="N1499" s="263"/>
      <c r="O1499" s="263"/>
      <c r="P1499" s="263"/>
      <c r="Q1499" s="263"/>
      <c r="R1499" s="263"/>
      <c r="S1499" s="263"/>
      <c r="T1499" s="263"/>
      <c r="U1499" s="263"/>
      <c r="W1499" s="263"/>
    </row>
    <row r="1500" spans="7:23" x14ac:dyDescent="0.25">
      <c r="G1500" s="263"/>
      <c r="H1500" s="263"/>
      <c r="I1500" s="263"/>
      <c r="J1500" s="263"/>
      <c r="K1500" s="263"/>
      <c r="L1500" s="263"/>
      <c r="M1500" s="263"/>
      <c r="N1500" s="263"/>
      <c r="O1500" s="263"/>
      <c r="P1500" s="263"/>
      <c r="Q1500" s="263"/>
      <c r="R1500" s="263"/>
      <c r="S1500" s="263"/>
      <c r="T1500" s="263"/>
      <c r="U1500" s="263"/>
    </row>
    <row r="1502" spans="7:23" x14ac:dyDescent="0.25">
      <c r="W1502" s="263"/>
    </row>
    <row r="1503" spans="7:23" x14ac:dyDescent="0.25">
      <c r="G1503" s="263"/>
      <c r="H1503" s="263"/>
      <c r="I1503" s="263"/>
      <c r="J1503" s="263"/>
      <c r="K1503" s="263"/>
      <c r="L1503" s="263"/>
      <c r="M1503" s="263"/>
      <c r="N1503" s="263"/>
      <c r="O1503" s="263"/>
      <c r="P1503" s="263"/>
      <c r="Q1503" s="263"/>
      <c r="R1503" s="263"/>
      <c r="S1503" s="263"/>
      <c r="T1503" s="263"/>
      <c r="U1503" s="263"/>
      <c r="W1503" s="263"/>
    </row>
    <row r="1504" spans="7:23" x14ac:dyDescent="0.25">
      <c r="G1504" s="263"/>
      <c r="H1504" s="263"/>
      <c r="I1504" s="263"/>
      <c r="J1504" s="263"/>
      <c r="K1504" s="263"/>
      <c r="L1504" s="263"/>
      <c r="M1504" s="263"/>
      <c r="N1504" s="263"/>
      <c r="O1504" s="263"/>
      <c r="P1504" s="263"/>
      <c r="Q1504" s="263"/>
      <c r="R1504" s="263"/>
      <c r="S1504" s="263"/>
      <c r="T1504" s="263"/>
      <c r="U1504" s="263"/>
      <c r="W1504" s="263"/>
    </row>
    <row r="1505" spans="7:23" x14ac:dyDescent="0.25">
      <c r="G1505" s="263"/>
      <c r="H1505" s="263"/>
      <c r="I1505" s="263"/>
      <c r="J1505" s="263"/>
      <c r="K1505" s="263"/>
      <c r="L1505" s="263"/>
      <c r="M1505" s="263"/>
      <c r="N1505" s="263"/>
      <c r="O1505" s="263"/>
      <c r="P1505" s="263"/>
      <c r="Q1505" s="263"/>
      <c r="R1505" s="263"/>
      <c r="S1505" s="263"/>
      <c r="T1505" s="263"/>
      <c r="U1505" s="263"/>
      <c r="W1505" s="263"/>
    </row>
    <row r="1506" spans="7:23" x14ac:dyDescent="0.25">
      <c r="G1506" s="263"/>
      <c r="H1506" s="263"/>
      <c r="I1506" s="263"/>
      <c r="J1506" s="263"/>
      <c r="K1506" s="263"/>
      <c r="L1506" s="263"/>
      <c r="M1506" s="263"/>
      <c r="N1506" s="263"/>
      <c r="O1506" s="263"/>
      <c r="P1506" s="263"/>
      <c r="Q1506" s="263"/>
      <c r="R1506" s="263"/>
      <c r="S1506" s="263"/>
      <c r="T1506" s="263"/>
      <c r="U1506" s="263"/>
    </row>
    <row r="1508" spans="7:23" x14ac:dyDescent="0.25">
      <c r="W1508" s="263"/>
    </row>
    <row r="1509" spans="7:23" x14ac:dyDescent="0.25">
      <c r="G1509" s="263"/>
      <c r="H1509" s="263"/>
      <c r="I1509" s="263"/>
      <c r="J1509" s="263"/>
      <c r="K1509" s="263"/>
      <c r="L1509" s="263"/>
      <c r="M1509" s="263"/>
      <c r="N1509" s="263"/>
      <c r="O1509" s="263"/>
      <c r="P1509" s="263"/>
      <c r="Q1509" s="263"/>
      <c r="R1509" s="263"/>
      <c r="S1509" s="263"/>
      <c r="T1509" s="263"/>
      <c r="U1509" s="263"/>
    </row>
    <row r="1513" spans="7:23" x14ac:dyDescent="0.25">
      <c r="W1513" s="263"/>
    </row>
    <row r="1514" spans="7:23" x14ac:dyDescent="0.25">
      <c r="G1514" s="263"/>
      <c r="H1514" s="263"/>
      <c r="I1514" s="263"/>
      <c r="J1514" s="263"/>
      <c r="K1514" s="263"/>
      <c r="L1514" s="263"/>
      <c r="M1514" s="263"/>
      <c r="N1514" s="263"/>
      <c r="O1514" s="263"/>
      <c r="P1514" s="263"/>
      <c r="Q1514" s="263"/>
      <c r="R1514" s="263"/>
      <c r="S1514" s="263"/>
      <c r="T1514" s="263"/>
      <c r="U1514" s="263"/>
      <c r="W1514" s="263"/>
    </row>
    <row r="1515" spans="7:23" x14ac:dyDescent="0.25">
      <c r="G1515" s="263"/>
      <c r="H1515" s="263"/>
      <c r="I1515" s="263"/>
      <c r="J1515" s="263"/>
      <c r="K1515" s="263"/>
      <c r="L1515" s="263"/>
      <c r="M1515" s="263"/>
      <c r="N1515" s="263"/>
      <c r="O1515" s="263"/>
      <c r="P1515" s="263"/>
      <c r="Q1515" s="263"/>
      <c r="R1515" s="263"/>
      <c r="S1515" s="263"/>
      <c r="T1515" s="263"/>
      <c r="U1515" s="263"/>
      <c r="W1515" s="263"/>
    </row>
    <row r="1516" spans="7:23" x14ac:dyDescent="0.25">
      <c r="G1516" s="263"/>
      <c r="H1516" s="263"/>
      <c r="I1516" s="263"/>
      <c r="J1516" s="263"/>
      <c r="K1516" s="263"/>
      <c r="L1516" s="263"/>
      <c r="M1516" s="263"/>
      <c r="N1516" s="263"/>
      <c r="O1516" s="263"/>
      <c r="P1516" s="263"/>
      <c r="Q1516" s="263"/>
      <c r="R1516" s="263"/>
      <c r="S1516" s="263"/>
      <c r="T1516" s="263"/>
      <c r="U1516" s="263"/>
      <c r="W1516" s="263"/>
    </row>
    <row r="1517" spans="7:23" x14ac:dyDescent="0.25">
      <c r="G1517" s="263"/>
      <c r="H1517" s="263"/>
      <c r="I1517" s="263"/>
      <c r="J1517" s="263"/>
      <c r="K1517" s="263"/>
      <c r="L1517" s="263"/>
      <c r="M1517" s="263"/>
      <c r="N1517" s="263"/>
      <c r="O1517" s="263"/>
      <c r="P1517" s="263"/>
      <c r="Q1517" s="263"/>
      <c r="R1517" s="263"/>
      <c r="S1517" s="263"/>
      <c r="T1517" s="263"/>
      <c r="U1517" s="263"/>
      <c r="W1517" s="263"/>
    </row>
    <row r="1518" spans="7:23" x14ac:dyDescent="0.25">
      <c r="G1518" s="263"/>
      <c r="H1518" s="263"/>
      <c r="I1518" s="263"/>
      <c r="J1518" s="263"/>
      <c r="K1518" s="263"/>
      <c r="L1518" s="263"/>
      <c r="M1518" s="263"/>
      <c r="N1518" s="263"/>
      <c r="O1518" s="263"/>
      <c r="P1518" s="263"/>
      <c r="Q1518" s="263"/>
      <c r="R1518" s="263"/>
      <c r="S1518" s="263"/>
      <c r="T1518" s="263"/>
      <c r="U1518" s="263"/>
      <c r="W1518" s="263"/>
    </row>
    <row r="1519" spans="7:23" x14ac:dyDescent="0.25">
      <c r="G1519" s="263"/>
      <c r="H1519" s="263"/>
      <c r="I1519" s="263"/>
      <c r="J1519" s="263"/>
      <c r="K1519" s="263"/>
      <c r="L1519" s="263"/>
      <c r="M1519" s="263"/>
      <c r="N1519" s="263"/>
      <c r="O1519" s="263"/>
      <c r="P1519" s="263"/>
      <c r="Q1519" s="263"/>
      <c r="R1519" s="263"/>
      <c r="S1519" s="263"/>
      <c r="T1519" s="263"/>
      <c r="U1519" s="263"/>
    </row>
    <row r="1521" spans="7:23" x14ac:dyDescent="0.25">
      <c r="W1521" s="263"/>
    </row>
    <row r="1522" spans="7:23" x14ac:dyDescent="0.25">
      <c r="G1522" s="263"/>
      <c r="H1522" s="263"/>
      <c r="I1522" s="263"/>
      <c r="J1522" s="263"/>
      <c r="K1522" s="263"/>
      <c r="L1522" s="263"/>
      <c r="M1522" s="263"/>
      <c r="N1522" s="263"/>
      <c r="O1522" s="263"/>
      <c r="P1522" s="263"/>
      <c r="Q1522" s="263"/>
      <c r="R1522" s="263"/>
      <c r="S1522" s="263"/>
      <c r="T1522" s="263"/>
      <c r="U1522" s="263"/>
      <c r="W1522" s="263"/>
    </row>
    <row r="1523" spans="7:23" x14ac:dyDescent="0.25">
      <c r="G1523" s="263"/>
      <c r="H1523" s="263"/>
      <c r="I1523" s="263"/>
      <c r="J1523" s="263"/>
      <c r="K1523" s="263"/>
      <c r="L1523" s="263"/>
      <c r="M1523" s="263"/>
      <c r="N1523" s="263"/>
      <c r="O1523" s="263"/>
      <c r="P1523" s="263"/>
      <c r="Q1523" s="263"/>
      <c r="R1523" s="263"/>
      <c r="S1523" s="263"/>
      <c r="T1523" s="263"/>
      <c r="U1523" s="263"/>
      <c r="W1523" s="263"/>
    </row>
    <row r="1524" spans="7:23" x14ac:dyDescent="0.25">
      <c r="G1524" s="263"/>
      <c r="H1524" s="263"/>
      <c r="I1524" s="263"/>
      <c r="J1524" s="263"/>
      <c r="K1524" s="263"/>
      <c r="L1524" s="263"/>
      <c r="M1524" s="263"/>
      <c r="N1524" s="263"/>
      <c r="O1524" s="263"/>
      <c r="P1524" s="263"/>
      <c r="Q1524" s="263"/>
      <c r="R1524" s="263"/>
      <c r="S1524" s="263"/>
      <c r="T1524" s="263"/>
      <c r="U1524" s="263"/>
      <c r="W1524" s="263"/>
    </row>
    <row r="1525" spans="7:23" x14ac:dyDescent="0.25">
      <c r="G1525" s="263"/>
      <c r="H1525" s="263"/>
      <c r="I1525" s="263"/>
      <c r="J1525" s="263"/>
      <c r="K1525" s="263"/>
      <c r="L1525" s="263"/>
      <c r="M1525" s="263"/>
      <c r="N1525" s="263"/>
      <c r="O1525" s="263"/>
      <c r="P1525" s="263"/>
      <c r="Q1525" s="263"/>
      <c r="R1525" s="263"/>
      <c r="S1525" s="263"/>
      <c r="T1525" s="263"/>
      <c r="U1525" s="263"/>
    </row>
    <row r="1527" spans="7:23" x14ac:dyDescent="0.25">
      <c r="W1527" s="263"/>
    </row>
    <row r="1528" spans="7:23" x14ac:dyDescent="0.25">
      <c r="G1528" s="263"/>
      <c r="H1528" s="263"/>
      <c r="I1528" s="263"/>
      <c r="J1528" s="263"/>
      <c r="K1528" s="263"/>
      <c r="L1528" s="263"/>
      <c r="M1528" s="263"/>
      <c r="N1528" s="263"/>
      <c r="O1528" s="263"/>
      <c r="P1528" s="263"/>
      <c r="Q1528" s="263"/>
      <c r="R1528" s="263"/>
      <c r="S1528" s="263"/>
      <c r="T1528" s="263"/>
      <c r="U1528" s="263"/>
    </row>
    <row r="1530" spans="7:23" x14ac:dyDescent="0.25">
      <c r="W1530" s="263"/>
    </row>
    <row r="1531" spans="7:23" x14ac:dyDescent="0.25">
      <c r="G1531" s="263"/>
      <c r="H1531" s="263"/>
      <c r="I1531" s="263"/>
      <c r="J1531" s="263"/>
      <c r="K1531" s="263"/>
      <c r="L1531" s="263"/>
      <c r="M1531" s="263"/>
      <c r="N1531" s="263"/>
      <c r="O1531" s="263"/>
      <c r="P1531" s="263"/>
      <c r="Q1531" s="263"/>
      <c r="R1531" s="263"/>
      <c r="S1531" s="263"/>
      <c r="T1531" s="263"/>
      <c r="U1531" s="263"/>
      <c r="W1531" s="263"/>
    </row>
    <row r="1532" spans="7:23" x14ac:dyDescent="0.25">
      <c r="G1532" s="263"/>
      <c r="H1532" s="263"/>
      <c r="I1532" s="263"/>
      <c r="J1532" s="263"/>
      <c r="K1532" s="263"/>
      <c r="L1532" s="263"/>
      <c r="M1532" s="263"/>
      <c r="N1532" s="263"/>
      <c r="O1532" s="263"/>
      <c r="P1532" s="263"/>
      <c r="Q1532" s="263"/>
      <c r="R1532" s="263"/>
      <c r="S1532" s="263"/>
      <c r="T1532" s="263"/>
      <c r="U1532" s="263"/>
      <c r="W1532" s="263"/>
    </row>
    <row r="1533" spans="7:23" x14ac:dyDescent="0.25">
      <c r="G1533" s="263"/>
      <c r="H1533" s="263"/>
      <c r="I1533" s="263"/>
      <c r="J1533" s="263"/>
      <c r="K1533" s="263"/>
      <c r="L1533" s="263"/>
      <c r="M1533" s="263"/>
      <c r="N1533" s="263"/>
      <c r="O1533" s="263"/>
      <c r="P1533" s="263"/>
      <c r="Q1533" s="263"/>
      <c r="R1533" s="263"/>
      <c r="S1533" s="263"/>
      <c r="T1533" s="263"/>
      <c r="U1533" s="263"/>
      <c r="W1533" s="263"/>
    </row>
    <row r="1534" spans="7:23" x14ac:dyDescent="0.25">
      <c r="G1534" s="263"/>
      <c r="H1534" s="263"/>
      <c r="I1534" s="263"/>
      <c r="J1534" s="263"/>
      <c r="K1534" s="263"/>
      <c r="L1534" s="263"/>
      <c r="M1534" s="263"/>
      <c r="N1534" s="263"/>
      <c r="O1534" s="263"/>
      <c r="P1534" s="263"/>
      <c r="Q1534" s="263"/>
      <c r="R1534" s="263"/>
      <c r="S1534" s="263"/>
      <c r="T1534" s="263"/>
      <c r="U1534" s="263"/>
      <c r="W1534" s="263"/>
    </row>
    <row r="1535" spans="7:23" x14ac:dyDescent="0.25">
      <c r="G1535" s="263"/>
      <c r="H1535" s="263"/>
      <c r="I1535" s="263"/>
      <c r="J1535" s="263"/>
      <c r="K1535" s="263"/>
      <c r="L1535" s="263"/>
      <c r="M1535" s="263"/>
      <c r="N1535" s="263"/>
      <c r="O1535" s="263"/>
      <c r="P1535" s="263"/>
      <c r="Q1535" s="263"/>
      <c r="R1535" s="263"/>
      <c r="S1535" s="263"/>
      <c r="T1535" s="263"/>
      <c r="U1535" s="263"/>
    </row>
    <row r="1537" spans="7:23" x14ac:dyDescent="0.25">
      <c r="W1537" s="263"/>
    </row>
    <row r="1538" spans="7:23" x14ac:dyDescent="0.25">
      <c r="G1538" s="263"/>
      <c r="H1538" s="263"/>
      <c r="I1538" s="263"/>
      <c r="J1538" s="263"/>
      <c r="K1538" s="263"/>
      <c r="L1538" s="263"/>
      <c r="M1538" s="263"/>
      <c r="N1538" s="263"/>
      <c r="O1538" s="263"/>
      <c r="P1538" s="263"/>
      <c r="Q1538" s="263"/>
      <c r="R1538" s="263"/>
      <c r="S1538" s="263"/>
      <c r="T1538" s="263"/>
      <c r="U1538" s="263"/>
      <c r="W1538" s="263"/>
    </row>
    <row r="1539" spans="7:23" x14ac:dyDescent="0.25">
      <c r="G1539" s="263"/>
      <c r="H1539" s="263"/>
      <c r="I1539" s="263"/>
      <c r="J1539" s="263"/>
      <c r="K1539" s="263"/>
      <c r="L1539" s="263"/>
      <c r="M1539" s="263"/>
      <c r="N1539" s="263"/>
      <c r="O1539" s="263"/>
      <c r="P1539" s="263"/>
      <c r="Q1539" s="263"/>
      <c r="R1539" s="263"/>
      <c r="S1539" s="263"/>
      <c r="T1539" s="263"/>
      <c r="U1539" s="263"/>
      <c r="W1539" s="263"/>
    </row>
    <row r="1540" spans="7:23" x14ac:dyDescent="0.25">
      <c r="G1540" s="263"/>
      <c r="H1540" s="263"/>
      <c r="I1540" s="263"/>
      <c r="J1540" s="263"/>
      <c r="K1540" s="263"/>
      <c r="L1540" s="263"/>
      <c r="M1540" s="263"/>
      <c r="N1540" s="263"/>
      <c r="O1540" s="263"/>
      <c r="P1540" s="263"/>
      <c r="Q1540" s="263"/>
      <c r="R1540" s="263"/>
      <c r="S1540" s="263"/>
      <c r="T1540" s="263"/>
      <c r="U1540" s="263"/>
      <c r="W1540" s="263"/>
    </row>
    <row r="1541" spans="7:23" x14ac:dyDescent="0.25">
      <c r="G1541" s="263"/>
      <c r="H1541" s="263"/>
      <c r="I1541" s="263"/>
      <c r="J1541" s="263"/>
      <c r="K1541" s="263"/>
      <c r="L1541" s="263"/>
      <c r="M1541" s="263"/>
      <c r="N1541" s="263"/>
      <c r="O1541" s="263"/>
      <c r="P1541" s="263"/>
      <c r="Q1541" s="263"/>
      <c r="R1541" s="263"/>
      <c r="S1541" s="263"/>
      <c r="T1541" s="263"/>
      <c r="U1541" s="263"/>
    </row>
    <row r="1545" spans="7:23" x14ac:dyDescent="0.25">
      <c r="W1545" s="263"/>
    </row>
    <row r="1546" spans="7:23" x14ac:dyDescent="0.25">
      <c r="G1546" s="263"/>
      <c r="H1546" s="263"/>
      <c r="I1546" s="263"/>
      <c r="J1546" s="263"/>
      <c r="K1546" s="263"/>
      <c r="L1546" s="263"/>
      <c r="M1546" s="263"/>
      <c r="N1546" s="263"/>
      <c r="O1546" s="263"/>
      <c r="P1546" s="263"/>
      <c r="Q1546" s="263"/>
      <c r="R1546" s="263"/>
      <c r="S1546" s="263"/>
      <c r="T1546" s="263"/>
      <c r="U1546" s="263"/>
      <c r="W1546" s="263"/>
    </row>
    <row r="1547" spans="7:23" x14ac:dyDescent="0.25">
      <c r="G1547" s="263"/>
      <c r="H1547" s="263"/>
      <c r="I1547" s="263"/>
      <c r="J1547" s="263"/>
      <c r="K1547" s="263"/>
      <c r="L1547" s="263"/>
      <c r="M1547" s="263"/>
      <c r="N1547" s="263"/>
      <c r="O1547" s="263"/>
      <c r="P1547" s="263"/>
      <c r="Q1547" s="263"/>
      <c r="R1547" s="263"/>
      <c r="S1547" s="263"/>
      <c r="T1547" s="263"/>
      <c r="U1547" s="263"/>
      <c r="W1547" s="263"/>
    </row>
    <row r="1548" spans="7:23" x14ac:dyDescent="0.25">
      <c r="G1548" s="263"/>
      <c r="H1548" s="263"/>
      <c r="I1548" s="263"/>
      <c r="J1548" s="263"/>
      <c r="K1548" s="263"/>
      <c r="L1548" s="263"/>
      <c r="M1548" s="263"/>
      <c r="N1548" s="263"/>
      <c r="O1548" s="263"/>
      <c r="P1548" s="263"/>
      <c r="Q1548" s="263"/>
      <c r="R1548" s="263"/>
      <c r="S1548" s="263"/>
      <c r="T1548" s="263"/>
      <c r="U1548" s="263"/>
      <c r="W1548" s="263"/>
    </row>
    <row r="1549" spans="7:23" x14ac:dyDescent="0.25">
      <c r="G1549" s="263"/>
      <c r="H1549" s="263"/>
      <c r="I1549" s="263"/>
      <c r="J1549" s="263"/>
      <c r="K1549" s="263"/>
      <c r="L1549" s="263"/>
      <c r="M1549" s="263"/>
      <c r="N1549" s="263"/>
      <c r="O1549" s="263"/>
      <c r="P1549" s="263"/>
      <c r="Q1549" s="263"/>
      <c r="R1549" s="263"/>
      <c r="S1549" s="263"/>
      <c r="T1549" s="263"/>
      <c r="U1549" s="263"/>
      <c r="W1549" s="263"/>
    </row>
    <row r="1550" spans="7:23" x14ac:dyDescent="0.25">
      <c r="G1550" s="263"/>
      <c r="H1550" s="263"/>
      <c r="I1550" s="263"/>
      <c r="J1550" s="263"/>
      <c r="K1550" s="263"/>
      <c r="L1550" s="263"/>
      <c r="M1550" s="263"/>
      <c r="N1550" s="263"/>
      <c r="O1550" s="263"/>
      <c r="P1550" s="263"/>
      <c r="Q1550" s="263"/>
      <c r="R1550" s="263"/>
      <c r="S1550" s="263"/>
      <c r="T1550" s="263"/>
      <c r="U1550" s="263"/>
      <c r="W1550" s="263"/>
    </row>
    <row r="1551" spans="7:23" x14ac:dyDescent="0.25">
      <c r="G1551" s="263"/>
      <c r="H1551" s="263"/>
      <c r="I1551" s="263"/>
      <c r="J1551" s="263"/>
      <c r="K1551" s="263"/>
      <c r="L1551" s="263"/>
      <c r="M1551" s="263"/>
      <c r="N1551" s="263"/>
      <c r="O1551" s="263"/>
      <c r="P1551" s="263"/>
      <c r="Q1551" s="263"/>
      <c r="R1551" s="263"/>
      <c r="S1551" s="263"/>
      <c r="T1551" s="263"/>
      <c r="U1551" s="263"/>
      <c r="W1551" s="263"/>
    </row>
    <row r="1552" spans="7:23" x14ac:dyDescent="0.25">
      <c r="G1552" s="263"/>
      <c r="H1552" s="263"/>
      <c r="I1552" s="263"/>
      <c r="J1552" s="263"/>
      <c r="K1552" s="263"/>
      <c r="L1552" s="263"/>
      <c r="M1552" s="263"/>
      <c r="N1552" s="263"/>
      <c r="O1552" s="263"/>
      <c r="P1552" s="263"/>
      <c r="Q1552" s="263"/>
      <c r="R1552" s="263"/>
      <c r="S1552" s="263"/>
      <c r="T1552" s="263"/>
      <c r="U1552" s="263"/>
      <c r="W1552" s="263"/>
    </row>
    <row r="1553" spans="7:23" x14ac:dyDescent="0.25">
      <c r="G1553" s="263"/>
      <c r="H1553" s="263"/>
      <c r="I1553" s="263"/>
      <c r="J1553" s="263"/>
      <c r="K1553" s="263"/>
      <c r="L1553" s="263"/>
      <c r="M1553" s="263"/>
      <c r="N1553" s="263"/>
      <c r="O1553" s="263"/>
      <c r="P1553" s="263"/>
      <c r="Q1553" s="263"/>
      <c r="R1553" s="263"/>
      <c r="S1553" s="263"/>
      <c r="T1553" s="263"/>
      <c r="U1553" s="263"/>
      <c r="W1553" s="263"/>
    </row>
    <row r="1554" spans="7:23" x14ac:dyDescent="0.25">
      <c r="G1554" s="263"/>
      <c r="H1554" s="263"/>
      <c r="I1554" s="263"/>
      <c r="J1554" s="263"/>
      <c r="K1554" s="263"/>
      <c r="L1554" s="263"/>
      <c r="M1554" s="263"/>
      <c r="N1554" s="263"/>
      <c r="O1554" s="263"/>
      <c r="P1554" s="263"/>
      <c r="Q1554" s="263"/>
      <c r="R1554" s="263"/>
      <c r="S1554" s="263"/>
      <c r="T1554" s="263"/>
      <c r="U1554" s="263"/>
      <c r="W1554" s="263"/>
    </row>
    <row r="1555" spans="7:23" x14ac:dyDescent="0.25">
      <c r="G1555" s="263"/>
      <c r="H1555" s="263"/>
      <c r="I1555" s="263"/>
      <c r="J1555" s="263"/>
      <c r="K1555" s="263"/>
      <c r="L1555" s="263"/>
      <c r="M1555" s="263"/>
      <c r="N1555" s="263"/>
      <c r="O1555" s="263"/>
      <c r="P1555" s="263"/>
      <c r="Q1555" s="263"/>
      <c r="R1555" s="263"/>
      <c r="S1555" s="263"/>
      <c r="T1555" s="263"/>
      <c r="U1555" s="263"/>
      <c r="W1555" s="263"/>
    </row>
    <row r="1556" spans="7:23" x14ac:dyDescent="0.25">
      <c r="G1556" s="263"/>
      <c r="H1556" s="263"/>
      <c r="I1556" s="263"/>
      <c r="J1556" s="263"/>
      <c r="K1556" s="263"/>
      <c r="L1556" s="263"/>
      <c r="M1556" s="263"/>
      <c r="N1556" s="263"/>
      <c r="O1556" s="263"/>
      <c r="P1556" s="263"/>
      <c r="Q1556" s="263"/>
      <c r="R1556" s="263"/>
      <c r="S1556" s="263"/>
      <c r="T1556" s="263"/>
      <c r="U1556" s="263"/>
      <c r="W1556" s="263"/>
    </row>
    <row r="1557" spans="7:23" x14ac:dyDescent="0.25">
      <c r="G1557" s="263"/>
      <c r="H1557" s="263"/>
      <c r="I1557" s="263"/>
      <c r="J1557" s="263"/>
      <c r="K1557" s="263"/>
      <c r="L1557" s="263"/>
      <c r="M1557" s="263"/>
      <c r="N1557" s="263"/>
      <c r="O1557" s="263"/>
      <c r="P1557" s="263"/>
      <c r="Q1557" s="263"/>
      <c r="R1557" s="263"/>
      <c r="S1557" s="263"/>
      <c r="T1557" s="263"/>
      <c r="U1557" s="263"/>
      <c r="W1557" s="263"/>
    </row>
    <row r="1558" spans="7:23" x14ac:dyDescent="0.25">
      <c r="G1558" s="263"/>
      <c r="H1558" s="263"/>
      <c r="I1558" s="263"/>
      <c r="J1558" s="263"/>
      <c r="K1558" s="263"/>
      <c r="L1558" s="263"/>
      <c r="M1558" s="263"/>
      <c r="N1558" s="263"/>
      <c r="O1558" s="263"/>
      <c r="P1558" s="263"/>
      <c r="Q1558" s="263"/>
      <c r="R1558" s="263"/>
      <c r="S1558" s="263"/>
      <c r="T1558" s="263"/>
      <c r="U1558" s="263"/>
      <c r="W1558" s="263"/>
    </row>
    <row r="1559" spans="7:23" x14ac:dyDescent="0.25">
      <c r="G1559" s="263"/>
      <c r="H1559" s="263"/>
      <c r="I1559" s="263"/>
      <c r="J1559" s="263"/>
      <c r="K1559" s="263"/>
      <c r="L1559" s="263"/>
      <c r="M1559" s="263"/>
      <c r="N1559" s="263"/>
      <c r="O1559" s="263"/>
      <c r="P1559" s="263"/>
      <c r="Q1559" s="263"/>
      <c r="R1559" s="263"/>
      <c r="S1559" s="263"/>
      <c r="T1559" s="263"/>
      <c r="U1559" s="263"/>
      <c r="W1559" s="263"/>
    </row>
    <row r="1560" spans="7:23" x14ac:dyDescent="0.25">
      <c r="G1560" s="263"/>
      <c r="H1560" s="263"/>
      <c r="I1560" s="263"/>
      <c r="J1560" s="263"/>
      <c r="K1560" s="263"/>
      <c r="L1560" s="263"/>
      <c r="M1560" s="263"/>
      <c r="N1560" s="263"/>
      <c r="O1560" s="263"/>
      <c r="P1560" s="263"/>
      <c r="Q1560" s="263"/>
      <c r="R1560" s="263"/>
      <c r="S1560" s="263"/>
      <c r="T1560" s="263"/>
      <c r="U1560" s="263"/>
      <c r="W1560" s="263"/>
    </row>
    <row r="1561" spans="7:23" x14ac:dyDescent="0.25">
      <c r="G1561" s="263"/>
      <c r="H1561" s="263"/>
      <c r="I1561" s="263"/>
      <c r="J1561" s="263"/>
      <c r="K1561" s="263"/>
      <c r="L1561" s="263"/>
      <c r="M1561" s="263"/>
      <c r="N1561" s="263"/>
      <c r="O1561" s="263"/>
      <c r="P1561" s="263"/>
      <c r="Q1561" s="263"/>
      <c r="R1561" s="263"/>
      <c r="S1561" s="263"/>
      <c r="T1561" s="263"/>
      <c r="U1561" s="263"/>
      <c r="W1561" s="263"/>
    </row>
    <row r="1562" spans="7:23" x14ac:dyDescent="0.25">
      <c r="G1562" s="263"/>
      <c r="H1562" s="263"/>
      <c r="I1562" s="263"/>
      <c r="J1562" s="263"/>
      <c r="K1562" s="263"/>
      <c r="L1562" s="263"/>
      <c r="M1562" s="263"/>
      <c r="N1562" s="263"/>
      <c r="O1562" s="263"/>
      <c r="P1562" s="263"/>
      <c r="Q1562" s="263"/>
      <c r="R1562" s="263"/>
      <c r="S1562" s="263"/>
      <c r="T1562" s="263"/>
      <c r="U1562" s="263"/>
      <c r="W1562" s="263"/>
    </row>
    <row r="1563" spans="7:23" x14ac:dyDescent="0.25">
      <c r="G1563" s="263"/>
      <c r="H1563" s="263"/>
      <c r="I1563" s="263"/>
      <c r="J1563" s="263"/>
      <c r="K1563" s="263"/>
      <c r="L1563" s="263"/>
      <c r="M1563" s="263"/>
      <c r="N1563" s="263"/>
      <c r="O1563" s="263"/>
      <c r="P1563" s="263"/>
      <c r="Q1563" s="263"/>
      <c r="R1563" s="263"/>
      <c r="S1563" s="263"/>
      <c r="T1563" s="263"/>
      <c r="U1563" s="263"/>
      <c r="W1563" s="263"/>
    </row>
    <row r="1564" spans="7:23" x14ac:dyDescent="0.25">
      <c r="G1564" s="263"/>
      <c r="H1564" s="263"/>
      <c r="I1564" s="263"/>
      <c r="J1564" s="263"/>
      <c r="K1564" s="263"/>
      <c r="L1564" s="263"/>
      <c r="M1564" s="263"/>
      <c r="N1564" s="263"/>
      <c r="O1564" s="263"/>
      <c r="P1564" s="263"/>
      <c r="Q1564" s="263"/>
      <c r="R1564" s="263"/>
      <c r="S1564" s="263"/>
      <c r="T1564" s="263"/>
      <c r="U1564" s="263"/>
      <c r="W1564" s="263"/>
    </row>
    <row r="1565" spans="7:23" x14ac:dyDescent="0.25">
      <c r="G1565" s="263"/>
      <c r="H1565" s="263"/>
      <c r="I1565" s="263"/>
      <c r="J1565" s="263"/>
      <c r="K1565" s="263"/>
      <c r="L1565" s="263"/>
      <c r="M1565" s="263"/>
      <c r="N1565" s="263"/>
      <c r="O1565" s="263"/>
      <c r="P1565" s="263"/>
      <c r="Q1565" s="263"/>
      <c r="R1565" s="263"/>
      <c r="S1565" s="263"/>
      <c r="T1565" s="263"/>
      <c r="U1565" s="263"/>
    </row>
    <row r="1567" spans="7:23" x14ac:dyDescent="0.25">
      <c r="W1567" s="263"/>
    </row>
    <row r="1568" spans="7:23" x14ac:dyDescent="0.25">
      <c r="G1568" s="263"/>
      <c r="H1568" s="263"/>
      <c r="I1568" s="263"/>
      <c r="J1568" s="263"/>
      <c r="K1568" s="263"/>
      <c r="L1568" s="263"/>
      <c r="M1568" s="263"/>
      <c r="N1568" s="263"/>
      <c r="O1568" s="263"/>
      <c r="P1568" s="263"/>
      <c r="Q1568" s="263"/>
      <c r="R1568" s="263"/>
      <c r="S1568" s="263"/>
      <c r="T1568" s="263"/>
      <c r="U1568" s="263"/>
      <c r="W1568" s="263"/>
    </row>
    <row r="1569" spans="7:23" x14ac:dyDescent="0.25">
      <c r="G1569" s="263"/>
      <c r="H1569" s="263"/>
      <c r="I1569" s="263"/>
      <c r="J1569" s="263"/>
      <c r="K1569" s="263"/>
      <c r="L1569" s="263"/>
      <c r="M1569" s="263"/>
      <c r="N1569" s="263"/>
      <c r="O1569" s="263"/>
      <c r="P1569" s="263"/>
      <c r="Q1569" s="263"/>
      <c r="R1569" s="263"/>
      <c r="S1569" s="263"/>
      <c r="T1569" s="263"/>
      <c r="U1569" s="263"/>
      <c r="W1569" s="263"/>
    </row>
    <row r="1570" spans="7:23" x14ac:dyDescent="0.25">
      <c r="G1570" s="263"/>
      <c r="H1570" s="263"/>
      <c r="I1570" s="263"/>
      <c r="J1570" s="263"/>
      <c r="K1570" s="263"/>
      <c r="L1570" s="263"/>
      <c r="M1570" s="263"/>
      <c r="N1570" s="263"/>
      <c r="O1570" s="263"/>
      <c r="P1570" s="263"/>
      <c r="Q1570" s="263"/>
      <c r="R1570" s="263"/>
      <c r="S1570" s="263"/>
      <c r="T1570" s="263"/>
      <c r="U1570" s="263"/>
      <c r="W1570" s="263"/>
    </row>
    <row r="1571" spans="7:23" x14ac:dyDescent="0.25">
      <c r="G1571" s="263"/>
      <c r="H1571" s="263"/>
      <c r="I1571" s="263"/>
      <c r="J1571" s="263"/>
      <c r="K1571" s="263"/>
      <c r="L1571" s="263"/>
      <c r="M1571" s="263"/>
      <c r="N1571" s="263"/>
      <c r="O1571" s="263"/>
      <c r="P1571" s="263"/>
      <c r="Q1571" s="263"/>
      <c r="R1571" s="263"/>
      <c r="S1571" s="263"/>
      <c r="T1571" s="263"/>
      <c r="U1571" s="263"/>
      <c r="W1571" s="263"/>
    </row>
    <row r="1572" spans="7:23" x14ac:dyDescent="0.25">
      <c r="G1572" s="263"/>
      <c r="H1572" s="263"/>
      <c r="I1572" s="263"/>
      <c r="J1572" s="263"/>
      <c r="K1572" s="263"/>
      <c r="L1572" s="263"/>
      <c r="M1572" s="263"/>
      <c r="N1572" s="263"/>
      <c r="O1572" s="263"/>
      <c r="P1572" s="263"/>
      <c r="Q1572" s="263"/>
      <c r="R1572" s="263"/>
      <c r="S1572" s="263"/>
      <c r="T1572" s="263"/>
      <c r="U1572" s="263"/>
      <c r="W1572" s="263"/>
    </row>
    <row r="1573" spans="7:23" x14ac:dyDescent="0.25">
      <c r="G1573" s="263"/>
      <c r="H1573" s="263"/>
      <c r="I1573" s="263"/>
      <c r="J1573" s="263"/>
      <c r="K1573" s="263"/>
      <c r="L1573" s="263"/>
      <c r="M1573" s="263"/>
      <c r="N1573" s="263"/>
      <c r="O1573" s="263"/>
      <c r="P1573" s="263"/>
      <c r="Q1573" s="263"/>
      <c r="R1573" s="263"/>
      <c r="S1573" s="263"/>
      <c r="T1573" s="263"/>
      <c r="U1573" s="263"/>
      <c r="W1573" s="263"/>
    </row>
    <row r="1574" spans="7:23" x14ac:dyDescent="0.25">
      <c r="G1574" s="263"/>
      <c r="H1574" s="263"/>
      <c r="I1574" s="263"/>
      <c r="J1574" s="263"/>
      <c r="K1574" s="263"/>
      <c r="L1574" s="263"/>
      <c r="M1574" s="263"/>
      <c r="N1574" s="263"/>
      <c r="O1574" s="263"/>
      <c r="P1574" s="263"/>
      <c r="Q1574" s="263"/>
      <c r="R1574" s="263"/>
      <c r="S1574" s="263"/>
      <c r="T1574" s="263"/>
      <c r="U1574" s="263"/>
      <c r="W1574" s="263"/>
    </row>
    <row r="1575" spans="7:23" x14ac:dyDescent="0.25">
      <c r="G1575" s="263"/>
      <c r="H1575" s="263"/>
      <c r="I1575" s="263"/>
      <c r="J1575" s="263"/>
      <c r="K1575" s="263"/>
      <c r="L1575" s="263"/>
      <c r="M1575" s="263"/>
      <c r="N1575" s="263"/>
      <c r="O1575" s="263"/>
      <c r="P1575" s="263"/>
      <c r="Q1575" s="263"/>
      <c r="R1575" s="263"/>
      <c r="S1575" s="263"/>
      <c r="T1575" s="263"/>
      <c r="U1575" s="263"/>
      <c r="W1575" s="263"/>
    </row>
    <row r="1576" spans="7:23" x14ac:dyDescent="0.25">
      <c r="G1576" s="263"/>
      <c r="H1576" s="263"/>
      <c r="I1576" s="263"/>
      <c r="J1576" s="263"/>
      <c r="K1576" s="263"/>
      <c r="L1576" s="263"/>
      <c r="M1576" s="263"/>
      <c r="N1576" s="263"/>
      <c r="O1576" s="263"/>
      <c r="P1576" s="263"/>
      <c r="Q1576" s="263"/>
      <c r="R1576" s="263"/>
      <c r="S1576" s="263"/>
      <c r="T1576" s="263"/>
      <c r="U1576" s="263"/>
      <c r="W1576" s="263"/>
    </row>
    <row r="1577" spans="7:23" x14ac:dyDescent="0.25">
      <c r="G1577" s="263"/>
      <c r="H1577" s="263"/>
      <c r="I1577" s="263"/>
      <c r="J1577" s="263"/>
      <c r="K1577" s="263"/>
      <c r="L1577" s="263"/>
      <c r="M1577" s="263"/>
      <c r="N1577" s="263"/>
      <c r="O1577" s="263"/>
      <c r="P1577" s="263"/>
      <c r="Q1577" s="263"/>
      <c r="R1577" s="263"/>
      <c r="S1577" s="263"/>
      <c r="T1577" s="263"/>
      <c r="U1577" s="263"/>
      <c r="W1577" s="263"/>
    </row>
    <row r="1578" spans="7:23" x14ac:dyDescent="0.25">
      <c r="G1578" s="263"/>
      <c r="H1578" s="263"/>
      <c r="I1578" s="263"/>
      <c r="J1578" s="263"/>
      <c r="K1578" s="263"/>
      <c r="L1578" s="263"/>
      <c r="M1578" s="263"/>
      <c r="N1578" s="263"/>
      <c r="O1578" s="263"/>
      <c r="P1578" s="263"/>
      <c r="Q1578" s="263"/>
      <c r="R1578" s="263"/>
      <c r="S1578" s="263"/>
      <c r="T1578" s="263"/>
      <c r="U1578" s="263"/>
      <c r="W1578" s="263"/>
    </row>
    <row r="1579" spans="7:23" x14ac:dyDescent="0.25">
      <c r="G1579" s="263"/>
      <c r="H1579" s="263"/>
      <c r="I1579" s="263"/>
      <c r="J1579" s="263"/>
      <c r="K1579" s="263"/>
      <c r="L1579" s="263"/>
      <c r="M1579" s="263"/>
      <c r="N1579" s="263"/>
      <c r="O1579" s="263"/>
      <c r="P1579" s="263"/>
      <c r="Q1579" s="263"/>
      <c r="R1579" s="263"/>
      <c r="S1579" s="263"/>
      <c r="T1579" s="263"/>
      <c r="U1579" s="263"/>
      <c r="W1579" s="263"/>
    </row>
    <row r="1580" spans="7:23" x14ac:dyDescent="0.25">
      <c r="G1580" s="263"/>
      <c r="H1580" s="263"/>
      <c r="I1580" s="263"/>
      <c r="J1580" s="263"/>
      <c r="K1580" s="263"/>
      <c r="L1580" s="263"/>
      <c r="M1580" s="263"/>
      <c r="N1580" s="263"/>
      <c r="O1580" s="263"/>
      <c r="P1580" s="263"/>
      <c r="Q1580" s="263"/>
      <c r="R1580" s="263"/>
      <c r="S1580" s="263"/>
      <c r="T1580" s="263"/>
      <c r="U1580" s="263"/>
      <c r="W1580" s="263"/>
    </row>
    <row r="1581" spans="7:23" x14ac:dyDescent="0.25">
      <c r="G1581" s="263"/>
      <c r="H1581" s="263"/>
      <c r="I1581" s="263"/>
      <c r="J1581" s="263"/>
      <c r="K1581" s="263"/>
      <c r="L1581" s="263"/>
      <c r="M1581" s="263"/>
      <c r="N1581" s="263"/>
      <c r="O1581" s="263"/>
      <c r="P1581" s="263"/>
      <c r="Q1581" s="263"/>
      <c r="R1581" s="263"/>
      <c r="S1581" s="263"/>
      <c r="T1581" s="263"/>
      <c r="U1581" s="263"/>
      <c r="W1581" s="263"/>
    </row>
    <row r="1582" spans="7:23" x14ac:dyDescent="0.25">
      <c r="G1582" s="263"/>
      <c r="H1582" s="263"/>
      <c r="I1582" s="263"/>
      <c r="J1582" s="263"/>
      <c r="K1582" s="263"/>
      <c r="L1582" s="263"/>
      <c r="M1582" s="263"/>
      <c r="N1582" s="263"/>
      <c r="O1582" s="263"/>
      <c r="P1582" s="263"/>
      <c r="Q1582" s="263"/>
      <c r="R1582" s="263"/>
      <c r="S1582" s="263"/>
      <c r="T1582" s="263"/>
      <c r="U1582" s="263"/>
      <c r="W1582" s="263"/>
    </row>
    <row r="1583" spans="7:23" x14ac:dyDescent="0.25">
      <c r="G1583" s="263"/>
      <c r="H1583" s="263"/>
      <c r="I1583" s="263"/>
      <c r="J1583" s="263"/>
      <c r="K1583" s="263"/>
      <c r="L1583" s="263"/>
      <c r="M1583" s="263"/>
      <c r="N1583" s="263"/>
      <c r="O1583" s="263"/>
      <c r="P1583" s="263"/>
      <c r="Q1583" s="263"/>
      <c r="R1583" s="263"/>
      <c r="S1583" s="263"/>
      <c r="T1583" s="263"/>
      <c r="U1583" s="263"/>
      <c r="W1583" s="263"/>
    </row>
    <row r="1584" spans="7:23" x14ac:dyDescent="0.25">
      <c r="G1584" s="263"/>
      <c r="H1584" s="263"/>
      <c r="I1584" s="263"/>
      <c r="J1584" s="263"/>
      <c r="K1584" s="263"/>
      <c r="L1584" s="263"/>
      <c r="M1584" s="263"/>
      <c r="N1584" s="263"/>
      <c r="O1584" s="263"/>
      <c r="P1584" s="263"/>
      <c r="Q1584" s="263"/>
      <c r="R1584" s="263"/>
      <c r="S1584" s="263"/>
      <c r="T1584" s="263"/>
      <c r="U1584" s="263"/>
      <c r="W1584" s="263"/>
    </row>
    <row r="1585" spans="7:23" x14ac:dyDescent="0.25">
      <c r="G1585" s="263"/>
      <c r="H1585" s="263"/>
      <c r="I1585" s="263"/>
      <c r="J1585" s="263"/>
      <c r="K1585" s="263"/>
      <c r="L1585" s="263"/>
      <c r="M1585" s="263"/>
      <c r="N1585" s="263"/>
      <c r="O1585" s="263"/>
      <c r="P1585" s="263"/>
      <c r="Q1585" s="263"/>
      <c r="R1585" s="263"/>
      <c r="S1585" s="263"/>
      <c r="T1585" s="263"/>
      <c r="U1585" s="263"/>
      <c r="W1585" s="263"/>
    </row>
    <row r="1586" spans="7:23" x14ac:dyDescent="0.25">
      <c r="G1586" s="263"/>
      <c r="H1586" s="263"/>
      <c r="I1586" s="263"/>
      <c r="J1586" s="263"/>
      <c r="K1586" s="263"/>
      <c r="L1586" s="263"/>
      <c r="M1586" s="263"/>
      <c r="N1586" s="263"/>
      <c r="O1586" s="263"/>
      <c r="P1586" s="263"/>
      <c r="Q1586" s="263"/>
      <c r="R1586" s="263"/>
      <c r="S1586" s="263"/>
      <c r="T1586" s="263"/>
      <c r="U1586" s="263"/>
      <c r="W1586" s="263"/>
    </row>
    <row r="1587" spans="7:23" x14ac:dyDescent="0.25">
      <c r="G1587" s="263"/>
      <c r="H1587" s="263"/>
      <c r="I1587" s="263"/>
      <c r="J1587" s="263"/>
      <c r="K1587" s="263"/>
      <c r="L1587" s="263"/>
      <c r="M1587" s="263"/>
      <c r="N1587" s="263"/>
      <c r="O1587" s="263"/>
      <c r="P1587" s="263"/>
      <c r="Q1587" s="263"/>
      <c r="R1587" s="263"/>
      <c r="S1587" s="263"/>
      <c r="T1587" s="263"/>
      <c r="U1587" s="263"/>
    </row>
    <row r="1589" spans="7:23" x14ac:dyDescent="0.25">
      <c r="W1589" s="263"/>
    </row>
    <row r="1590" spans="7:23" x14ac:dyDescent="0.25">
      <c r="G1590" s="263"/>
      <c r="H1590" s="263"/>
      <c r="I1590" s="263"/>
      <c r="J1590" s="263"/>
      <c r="K1590" s="263"/>
      <c r="L1590" s="263"/>
      <c r="M1590" s="263"/>
      <c r="N1590" s="263"/>
      <c r="O1590" s="263"/>
      <c r="P1590" s="263"/>
      <c r="Q1590" s="263"/>
      <c r="R1590" s="263"/>
      <c r="S1590" s="263"/>
      <c r="T1590" s="263"/>
      <c r="U1590" s="263"/>
      <c r="W1590" s="263"/>
    </row>
    <row r="1591" spans="7:23" x14ac:dyDescent="0.25">
      <c r="G1591" s="263"/>
      <c r="H1591" s="263"/>
      <c r="I1591" s="263"/>
      <c r="J1591" s="263"/>
      <c r="K1591" s="263"/>
      <c r="L1591" s="263"/>
      <c r="M1591" s="263"/>
      <c r="N1591" s="263"/>
      <c r="O1591" s="263"/>
      <c r="P1591" s="263"/>
      <c r="Q1591" s="263"/>
      <c r="R1591" s="263"/>
      <c r="S1591" s="263"/>
      <c r="T1591" s="263"/>
      <c r="U1591" s="263"/>
      <c r="W1591" s="263"/>
    </row>
    <row r="1592" spans="7:23" x14ac:dyDescent="0.25">
      <c r="G1592" s="263"/>
      <c r="H1592" s="263"/>
      <c r="I1592" s="263"/>
      <c r="J1592" s="263"/>
      <c r="K1592" s="263"/>
      <c r="L1592" s="263"/>
      <c r="M1592" s="263"/>
      <c r="N1592" s="263"/>
      <c r="O1592" s="263"/>
      <c r="P1592" s="263"/>
      <c r="Q1592" s="263"/>
      <c r="R1592" s="263"/>
      <c r="S1592" s="263"/>
      <c r="T1592" s="263"/>
      <c r="U1592" s="263"/>
      <c r="W1592" s="263"/>
    </row>
    <row r="1593" spans="7:23" x14ac:dyDescent="0.25">
      <c r="G1593" s="263"/>
      <c r="H1593" s="263"/>
      <c r="I1593" s="263"/>
      <c r="J1593" s="263"/>
      <c r="K1593" s="263"/>
      <c r="L1593" s="263"/>
      <c r="M1593" s="263"/>
      <c r="N1593" s="263"/>
      <c r="O1593" s="263"/>
      <c r="P1593" s="263"/>
      <c r="Q1593" s="263"/>
      <c r="R1593" s="263"/>
      <c r="S1593" s="263"/>
      <c r="T1593" s="263"/>
      <c r="U1593" s="263"/>
      <c r="W1593" s="263"/>
    </row>
    <row r="1594" spans="7:23" x14ac:dyDescent="0.25">
      <c r="G1594" s="263"/>
      <c r="H1594" s="263"/>
      <c r="I1594" s="263"/>
      <c r="J1594" s="263"/>
      <c r="K1594" s="263"/>
      <c r="L1594" s="263"/>
      <c r="M1594" s="263"/>
      <c r="N1594" s="263"/>
      <c r="O1594" s="263"/>
      <c r="P1594" s="263"/>
      <c r="Q1594" s="263"/>
      <c r="R1594" s="263"/>
      <c r="S1594" s="263"/>
      <c r="T1594" s="263"/>
      <c r="U1594" s="263"/>
      <c r="W1594" s="263"/>
    </row>
    <row r="1595" spans="7:23" x14ac:dyDescent="0.25">
      <c r="G1595" s="263"/>
      <c r="H1595" s="263"/>
      <c r="I1595" s="263"/>
      <c r="J1595" s="263"/>
      <c r="K1595" s="263"/>
      <c r="L1595" s="263"/>
      <c r="M1595" s="263"/>
      <c r="N1595" s="263"/>
      <c r="O1595" s="263"/>
      <c r="P1595" s="263"/>
      <c r="Q1595" s="263"/>
      <c r="R1595" s="263"/>
      <c r="S1595" s="263"/>
      <c r="T1595" s="263"/>
      <c r="U1595" s="263"/>
    </row>
    <row r="1597" spans="7:23" x14ac:dyDescent="0.25">
      <c r="W1597" s="263"/>
    </row>
    <row r="1598" spans="7:23" x14ac:dyDescent="0.25">
      <c r="G1598" s="263"/>
      <c r="H1598" s="263"/>
      <c r="I1598" s="263"/>
      <c r="J1598" s="263"/>
      <c r="K1598" s="263"/>
      <c r="L1598" s="263"/>
      <c r="M1598" s="263"/>
      <c r="N1598" s="263"/>
      <c r="O1598" s="263"/>
      <c r="P1598" s="263"/>
      <c r="Q1598" s="263"/>
      <c r="R1598" s="263"/>
      <c r="S1598" s="263"/>
      <c r="T1598" s="263"/>
      <c r="U1598" s="263"/>
      <c r="W1598" s="263"/>
    </row>
    <row r="1599" spans="7:23" x14ac:dyDescent="0.25">
      <c r="G1599" s="263"/>
      <c r="H1599" s="263"/>
      <c r="I1599" s="263"/>
      <c r="J1599" s="263"/>
      <c r="K1599" s="263"/>
      <c r="L1599" s="263"/>
      <c r="M1599" s="263"/>
      <c r="N1599" s="263"/>
      <c r="O1599" s="263"/>
      <c r="P1599" s="263"/>
      <c r="Q1599" s="263"/>
      <c r="R1599" s="263"/>
      <c r="S1599" s="263"/>
      <c r="T1599" s="263"/>
      <c r="U1599" s="263"/>
      <c r="W1599" s="263"/>
    </row>
    <row r="1600" spans="7:23" x14ac:dyDescent="0.25">
      <c r="G1600" s="263"/>
      <c r="H1600" s="263"/>
      <c r="I1600" s="263"/>
      <c r="J1600" s="263"/>
      <c r="K1600" s="263"/>
      <c r="L1600" s="263"/>
      <c r="M1600" s="263"/>
      <c r="N1600" s="263"/>
      <c r="O1600" s="263"/>
      <c r="P1600" s="263"/>
      <c r="Q1600" s="263"/>
      <c r="R1600" s="263"/>
      <c r="S1600" s="263"/>
      <c r="T1600" s="263"/>
      <c r="U1600" s="263"/>
      <c r="W1600" s="263"/>
    </row>
    <row r="1601" spans="7:23" x14ac:dyDescent="0.25">
      <c r="G1601" s="263"/>
      <c r="H1601" s="263"/>
      <c r="I1601" s="263"/>
      <c r="J1601" s="263"/>
      <c r="K1601" s="263"/>
      <c r="L1601" s="263"/>
      <c r="M1601" s="263"/>
      <c r="N1601" s="263"/>
      <c r="O1601" s="263"/>
      <c r="P1601" s="263"/>
      <c r="Q1601" s="263"/>
      <c r="R1601" s="263"/>
      <c r="S1601" s="263"/>
      <c r="T1601" s="263"/>
      <c r="U1601" s="263"/>
      <c r="W1601" s="263"/>
    </row>
    <row r="1602" spans="7:23" x14ac:dyDescent="0.25">
      <c r="G1602" s="263"/>
      <c r="H1602" s="263"/>
      <c r="I1602" s="263"/>
      <c r="J1602" s="263"/>
      <c r="K1602" s="263"/>
      <c r="L1602" s="263"/>
      <c r="M1602" s="263"/>
      <c r="N1602" s="263"/>
      <c r="O1602" s="263"/>
      <c r="P1602" s="263"/>
      <c r="Q1602" s="263"/>
      <c r="R1602" s="263"/>
      <c r="S1602" s="263"/>
      <c r="T1602" s="263"/>
      <c r="U1602" s="263"/>
      <c r="W1602" s="263"/>
    </row>
    <row r="1603" spans="7:23" x14ac:dyDescent="0.25">
      <c r="G1603" s="263"/>
      <c r="H1603" s="263"/>
      <c r="I1603" s="263"/>
      <c r="J1603" s="263"/>
      <c r="K1603" s="263"/>
      <c r="L1603" s="263"/>
      <c r="M1603" s="263"/>
      <c r="N1603" s="263"/>
      <c r="O1603" s="263"/>
      <c r="P1603" s="263"/>
      <c r="Q1603" s="263"/>
      <c r="R1603" s="263"/>
      <c r="S1603" s="263"/>
      <c r="T1603" s="263"/>
      <c r="U1603" s="263"/>
      <c r="W1603" s="263"/>
    </row>
    <row r="1604" spans="7:23" x14ac:dyDescent="0.25">
      <c r="G1604" s="263"/>
      <c r="H1604" s="263"/>
      <c r="I1604" s="263"/>
      <c r="J1604" s="263"/>
      <c r="K1604" s="263"/>
      <c r="L1604" s="263"/>
      <c r="M1604" s="263"/>
      <c r="N1604" s="263"/>
      <c r="O1604" s="263"/>
      <c r="P1604" s="263"/>
      <c r="Q1604" s="263"/>
      <c r="R1604" s="263"/>
      <c r="S1604" s="263"/>
      <c r="T1604" s="263"/>
      <c r="U1604" s="263"/>
      <c r="W1604" s="263"/>
    </row>
    <row r="1605" spans="7:23" x14ac:dyDescent="0.25">
      <c r="G1605" s="263"/>
      <c r="H1605" s="263"/>
      <c r="I1605" s="263"/>
      <c r="J1605" s="263"/>
      <c r="K1605" s="263"/>
      <c r="L1605" s="263"/>
      <c r="M1605" s="263"/>
      <c r="N1605" s="263"/>
      <c r="O1605" s="263"/>
      <c r="P1605" s="263"/>
      <c r="Q1605" s="263"/>
      <c r="R1605" s="263"/>
      <c r="S1605" s="263"/>
      <c r="T1605" s="263"/>
      <c r="U1605" s="263"/>
      <c r="W1605" s="263"/>
    </row>
    <row r="1606" spans="7:23" x14ac:dyDescent="0.25">
      <c r="G1606" s="263"/>
      <c r="H1606" s="263"/>
      <c r="I1606" s="263"/>
      <c r="J1606" s="263"/>
      <c r="K1606" s="263"/>
      <c r="L1606" s="263"/>
      <c r="M1606" s="263"/>
      <c r="N1606" s="263"/>
      <c r="O1606" s="263"/>
      <c r="P1606" s="263"/>
      <c r="Q1606" s="263"/>
      <c r="R1606" s="263"/>
      <c r="S1606" s="263"/>
      <c r="T1606" s="263"/>
      <c r="U1606" s="263"/>
    </row>
    <row r="1608" spans="7:23" x14ac:dyDescent="0.25">
      <c r="W1608" s="263"/>
    </row>
    <row r="1609" spans="7:23" x14ac:dyDescent="0.25">
      <c r="G1609" s="263"/>
      <c r="H1609" s="263"/>
      <c r="I1609" s="263"/>
      <c r="J1609" s="263"/>
      <c r="K1609" s="263"/>
      <c r="L1609" s="263"/>
      <c r="M1609" s="263"/>
      <c r="N1609" s="263"/>
      <c r="O1609" s="263"/>
      <c r="P1609" s="263"/>
      <c r="Q1609" s="263"/>
      <c r="R1609" s="263"/>
      <c r="S1609" s="263"/>
      <c r="T1609" s="263"/>
      <c r="U1609" s="263"/>
      <c r="W1609" s="263"/>
    </row>
    <row r="1610" spans="7:23" x14ac:dyDescent="0.25">
      <c r="G1610" s="263"/>
      <c r="H1610" s="263"/>
      <c r="I1610" s="263"/>
      <c r="J1610" s="263"/>
      <c r="K1610" s="263"/>
      <c r="L1610" s="263"/>
      <c r="M1610" s="263"/>
      <c r="N1610" s="263"/>
      <c r="O1610" s="263"/>
      <c r="P1610" s="263"/>
      <c r="Q1610" s="263"/>
      <c r="R1610" s="263"/>
      <c r="S1610" s="263"/>
      <c r="T1610" s="263"/>
      <c r="U1610" s="263"/>
    </row>
    <row r="1612" spans="7:23" x14ac:dyDescent="0.25">
      <c r="W1612" s="263"/>
    </row>
    <row r="1613" spans="7:23" x14ac:dyDescent="0.25">
      <c r="G1613" s="263"/>
      <c r="H1613" s="263"/>
      <c r="I1613" s="263"/>
      <c r="J1613" s="263"/>
      <c r="K1613" s="263"/>
      <c r="L1613" s="263"/>
      <c r="M1613" s="263"/>
      <c r="N1613" s="263"/>
      <c r="O1613" s="263"/>
      <c r="P1613" s="263"/>
      <c r="Q1613" s="263"/>
      <c r="R1613" s="263"/>
      <c r="S1613" s="263"/>
      <c r="T1613" s="263"/>
      <c r="U1613" s="263"/>
      <c r="W1613" s="263"/>
    </row>
    <row r="1614" spans="7:23" x14ac:dyDescent="0.25">
      <c r="G1614" s="263"/>
      <c r="H1614" s="263"/>
      <c r="I1614" s="263"/>
      <c r="J1614" s="263"/>
      <c r="K1614" s="263"/>
      <c r="L1614" s="263"/>
      <c r="M1614" s="263"/>
      <c r="N1614" s="263"/>
      <c r="O1614" s="263"/>
      <c r="P1614" s="263"/>
      <c r="Q1614" s="263"/>
      <c r="R1614" s="263"/>
      <c r="S1614" s="263"/>
      <c r="T1614" s="263"/>
      <c r="U1614" s="263"/>
      <c r="W1614" s="263"/>
    </row>
    <row r="1615" spans="7:23" x14ac:dyDescent="0.25">
      <c r="G1615" s="263"/>
      <c r="H1615" s="263"/>
      <c r="I1615" s="263"/>
      <c r="J1615" s="263"/>
      <c r="K1615" s="263"/>
      <c r="L1615" s="263"/>
      <c r="M1615" s="263"/>
      <c r="N1615" s="263"/>
      <c r="O1615" s="263"/>
      <c r="P1615" s="263"/>
      <c r="Q1615" s="263"/>
      <c r="R1615" s="263"/>
      <c r="S1615" s="263"/>
      <c r="T1615" s="263"/>
      <c r="U1615" s="263"/>
      <c r="W1615" s="263"/>
    </row>
    <row r="1616" spans="7:23" x14ac:dyDescent="0.25">
      <c r="G1616" s="263"/>
      <c r="H1616" s="263"/>
      <c r="I1616" s="263"/>
      <c r="J1616" s="263"/>
      <c r="K1616" s="263"/>
      <c r="L1616" s="263"/>
      <c r="M1616" s="263"/>
      <c r="N1616" s="263"/>
      <c r="O1616" s="263"/>
      <c r="P1616" s="263"/>
      <c r="Q1616" s="263"/>
      <c r="R1616" s="263"/>
      <c r="S1616" s="263"/>
      <c r="T1616" s="263"/>
      <c r="U1616" s="263"/>
      <c r="W1616" s="263"/>
    </row>
    <row r="1617" spans="7:23" x14ac:dyDescent="0.25">
      <c r="G1617" s="263"/>
      <c r="H1617" s="263"/>
      <c r="I1617" s="263"/>
      <c r="J1617" s="263"/>
      <c r="K1617" s="263"/>
      <c r="L1617" s="263"/>
      <c r="M1617" s="263"/>
      <c r="N1617" s="263"/>
      <c r="O1617" s="263"/>
      <c r="P1617" s="263"/>
      <c r="Q1617" s="263"/>
      <c r="R1617" s="263"/>
      <c r="S1617" s="263"/>
      <c r="T1617" s="263"/>
      <c r="U1617" s="263"/>
      <c r="W1617" s="263"/>
    </row>
    <row r="1618" spans="7:23" x14ac:dyDescent="0.25">
      <c r="G1618" s="263"/>
      <c r="H1618" s="263"/>
      <c r="I1618" s="263"/>
      <c r="J1618" s="263"/>
      <c r="K1618" s="263"/>
      <c r="L1618" s="263"/>
      <c r="M1618" s="263"/>
      <c r="N1618" s="263"/>
      <c r="O1618" s="263"/>
      <c r="P1618" s="263"/>
      <c r="Q1618" s="263"/>
      <c r="R1618" s="263"/>
      <c r="S1618" s="263"/>
      <c r="T1618" s="263"/>
      <c r="U1618" s="263"/>
    </row>
    <row r="1620" spans="7:23" x14ac:dyDescent="0.25">
      <c r="W1620" s="263"/>
    </row>
    <row r="1621" spans="7:23" x14ac:dyDescent="0.25">
      <c r="G1621" s="263"/>
      <c r="H1621" s="263"/>
      <c r="I1621" s="263"/>
      <c r="J1621" s="263"/>
      <c r="K1621" s="263"/>
      <c r="L1621" s="263"/>
      <c r="M1621" s="263"/>
      <c r="N1621" s="263"/>
      <c r="O1621" s="263"/>
      <c r="P1621" s="263"/>
      <c r="Q1621" s="263"/>
      <c r="R1621" s="263"/>
      <c r="S1621" s="263"/>
      <c r="T1621" s="263"/>
      <c r="U1621" s="263"/>
    </row>
    <row r="1623" spans="7:23" x14ac:dyDescent="0.25">
      <c r="W1623" s="263"/>
    </row>
    <row r="1624" spans="7:23" x14ac:dyDescent="0.25">
      <c r="G1624" s="263"/>
      <c r="H1624" s="263"/>
      <c r="I1624" s="263"/>
      <c r="J1624" s="263"/>
      <c r="K1624" s="263"/>
      <c r="L1624" s="263"/>
      <c r="M1624" s="263"/>
      <c r="N1624" s="263"/>
      <c r="O1624" s="263"/>
      <c r="P1624" s="263"/>
      <c r="Q1624" s="263"/>
      <c r="R1624" s="263"/>
      <c r="S1624" s="263"/>
      <c r="T1624" s="263"/>
      <c r="U1624" s="263"/>
      <c r="W1624" s="263"/>
    </row>
    <row r="1625" spans="7:23" x14ac:dyDescent="0.25">
      <c r="G1625" s="263"/>
      <c r="H1625" s="263"/>
      <c r="I1625" s="263"/>
      <c r="J1625" s="263"/>
      <c r="K1625" s="263"/>
      <c r="L1625" s="263"/>
      <c r="M1625" s="263"/>
      <c r="N1625" s="263"/>
      <c r="O1625" s="263"/>
      <c r="P1625" s="263"/>
      <c r="Q1625" s="263"/>
      <c r="R1625" s="263"/>
      <c r="S1625" s="263"/>
      <c r="T1625" s="263"/>
      <c r="U1625" s="263"/>
      <c r="W1625" s="263"/>
    </row>
    <row r="1626" spans="7:23" x14ac:dyDescent="0.25">
      <c r="G1626" s="263"/>
      <c r="H1626" s="263"/>
      <c r="I1626" s="263"/>
      <c r="J1626" s="263"/>
      <c r="K1626" s="263"/>
      <c r="L1626" s="263"/>
      <c r="M1626" s="263"/>
      <c r="N1626" s="263"/>
      <c r="O1626" s="263"/>
      <c r="P1626" s="263"/>
      <c r="Q1626" s="263"/>
      <c r="R1626" s="263"/>
      <c r="S1626" s="263"/>
      <c r="T1626" s="263"/>
      <c r="U1626" s="263"/>
      <c r="W1626" s="263"/>
    </row>
    <row r="1627" spans="7:23" x14ac:dyDescent="0.25">
      <c r="G1627" s="263"/>
      <c r="H1627" s="263"/>
      <c r="I1627" s="263"/>
      <c r="J1627" s="263"/>
      <c r="K1627" s="263"/>
      <c r="L1627" s="263"/>
      <c r="M1627" s="263"/>
      <c r="N1627" s="263"/>
      <c r="O1627" s="263"/>
      <c r="P1627" s="263"/>
      <c r="Q1627" s="263"/>
      <c r="R1627" s="263"/>
      <c r="S1627" s="263"/>
      <c r="T1627" s="263"/>
      <c r="U1627" s="263"/>
      <c r="W1627" s="263"/>
    </row>
    <row r="1628" spans="7:23" x14ac:dyDescent="0.25">
      <c r="G1628" s="263"/>
      <c r="H1628" s="263"/>
      <c r="I1628" s="263"/>
      <c r="J1628" s="263"/>
      <c r="K1628" s="263"/>
      <c r="L1628" s="263"/>
      <c r="M1628" s="263"/>
      <c r="N1628" s="263"/>
      <c r="O1628" s="263"/>
      <c r="P1628" s="263"/>
      <c r="Q1628" s="263"/>
      <c r="R1628" s="263"/>
      <c r="S1628" s="263"/>
      <c r="T1628" s="263"/>
      <c r="U1628" s="263"/>
      <c r="W1628" s="263"/>
    </row>
    <row r="1629" spans="7:23" x14ac:dyDescent="0.25">
      <c r="G1629" s="263"/>
      <c r="H1629" s="263"/>
      <c r="I1629" s="263"/>
      <c r="J1629" s="263"/>
      <c r="K1629" s="263"/>
      <c r="L1629" s="263"/>
      <c r="M1629" s="263"/>
      <c r="N1629" s="263"/>
      <c r="O1629" s="263"/>
      <c r="P1629" s="263"/>
      <c r="Q1629" s="263"/>
      <c r="R1629" s="263"/>
      <c r="S1629" s="263"/>
      <c r="T1629" s="263"/>
      <c r="U1629" s="263"/>
      <c r="W1629" s="263"/>
    </row>
    <row r="1630" spans="7:23" x14ac:dyDescent="0.25">
      <c r="G1630" s="263"/>
      <c r="H1630" s="263"/>
      <c r="I1630" s="263"/>
      <c r="J1630" s="263"/>
      <c r="K1630" s="263"/>
      <c r="L1630" s="263"/>
      <c r="M1630" s="263"/>
      <c r="N1630" s="263"/>
      <c r="O1630" s="263"/>
      <c r="P1630" s="263"/>
      <c r="Q1630" s="263"/>
      <c r="R1630" s="263"/>
      <c r="S1630" s="263"/>
      <c r="T1630" s="263"/>
      <c r="U1630" s="263"/>
    </row>
    <row r="1632" spans="7:23" x14ac:dyDescent="0.25">
      <c r="W1632" s="263"/>
    </row>
    <row r="1633" spans="7:23" x14ac:dyDescent="0.25">
      <c r="G1633" s="263"/>
      <c r="H1633" s="263"/>
      <c r="I1633" s="263"/>
      <c r="J1633" s="263"/>
      <c r="K1633" s="263"/>
      <c r="L1633" s="263"/>
      <c r="M1633" s="263"/>
      <c r="N1633" s="263"/>
      <c r="O1633" s="263"/>
      <c r="P1633" s="263"/>
      <c r="Q1633" s="263"/>
      <c r="R1633" s="263"/>
      <c r="S1633" s="263"/>
      <c r="T1633" s="263"/>
      <c r="U1633" s="263"/>
    </row>
    <row r="1637" spans="7:23" x14ac:dyDescent="0.25">
      <c r="W1637" s="263"/>
    </row>
    <row r="1638" spans="7:23" x14ac:dyDescent="0.25">
      <c r="G1638" s="263"/>
      <c r="H1638" s="263"/>
      <c r="I1638" s="263"/>
      <c r="J1638" s="263"/>
      <c r="K1638" s="263"/>
      <c r="L1638" s="263"/>
      <c r="M1638" s="263"/>
      <c r="N1638" s="263"/>
      <c r="O1638" s="263"/>
      <c r="P1638" s="263"/>
      <c r="Q1638" s="263"/>
      <c r="R1638" s="263"/>
      <c r="S1638" s="263"/>
      <c r="T1638" s="263"/>
      <c r="U1638" s="263"/>
      <c r="W1638" s="263"/>
    </row>
    <row r="1639" spans="7:23" x14ac:dyDescent="0.25">
      <c r="G1639" s="263"/>
      <c r="H1639" s="263"/>
      <c r="I1639" s="263"/>
      <c r="J1639" s="263"/>
      <c r="K1639" s="263"/>
      <c r="L1639" s="263"/>
      <c r="M1639" s="263"/>
      <c r="N1639" s="263"/>
      <c r="O1639" s="263"/>
      <c r="P1639" s="263"/>
      <c r="Q1639" s="263"/>
      <c r="R1639" s="263"/>
      <c r="S1639" s="263"/>
      <c r="T1639" s="263"/>
      <c r="U1639" s="263"/>
      <c r="W1639" s="263"/>
    </row>
    <row r="1640" spans="7:23" x14ac:dyDescent="0.25">
      <c r="G1640" s="263"/>
      <c r="H1640" s="263"/>
      <c r="I1640" s="263"/>
      <c r="J1640" s="263"/>
      <c r="K1640" s="263"/>
      <c r="L1640" s="263"/>
      <c r="M1640" s="263"/>
      <c r="N1640" s="263"/>
      <c r="O1640" s="263"/>
      <c r="P1640" s="263"/>
      <c r="Q1640" s="263"/>
      <c r="R1640" s="263"/>
      <c r="S1640" s="263"/>
      <c r="T1640" s="263"/>
      <c r="U1640" s="263"/>
      <c r="W1640" s="263"/>
    </row>
    <row r="1641" spans="7:23" x14ac:dyDescent="0.25">
      <c r="G1641" s="263"/>
      <c r="H1641" s="263"/>
      <c r="I1641" s="263"/>
      <c r="J1641" s="263"/>
      <c r="K1641" s="263"/>
      <c r="L1641" s="263"/>
      <c r="M1641" s="263"/>
      <c r="N1641" s="263"/>
      <c r="O1641" s="263"/>
      <c r="P1641" s="263"/>
      <c r="Q1641" s="263"/>
      <c r="R1641" s="263"/>
      <c r="S1641" s="263"/>
      <c r="T1641" s="263"/>
      <c r="U1641" s="263"/>
      <c r="W1641" s="263"/>
    </row>
    <row r="1642" spans="7:23" x14ac:dyDescent="0.25">
      <c r="G1642" s="263"/>
      <c r="H1642" s="263"/>
      <c r="I1642" s="263"/>
      <c r="J1642" s="263"/>
      <c r="K1642" s="263"/>
      <c r="L1642" s="263"/>
      <c r="M1642" s="263"/>
      <c r="N1642" s="263"/>
      <c r="O1642" s="263"/>
      <c r="P1642" s="263"/>
      <c r="Q1642" s="263"/>
      <c r="R1642" s="263"/>
      <c r="S1642" s="263"/>
      <c r="T1642" s="263"/>
      <c r="U1642" s="263"/>
      <c r="W1642" s="263"/>
    </row>
    <row r="1643" spans="7:23" x14ac:dyDescent="0.25">
      <c r="G1643" s="263"/>
      <c r="H1643" s="263"/>
      <c r="I1643" s="263"/>
      <c r="J1643" s="263"/>
      <c r="K1643" s="263"/>
      <c r="L1643" s="263"/>
      <c r="M1643" s="263"/>
      <c r="N1643" s="263"/>
      <c r="O1643" s="263"/>
      <c r="P1643" s="263"/>
      <c r="Q1643" s="263"/>
      <c r="R1643" s="263"/>
      <c r="S1643" s="263"/>
      <c r="T1643" s="263"/>
      <c r="U1643" s="263"/>
    </row>
    <row r="1645" spans="7:23" x14ac:dyDescent="0.25">
      <c r="W1645" s="263"/>
    </row>
    <row r="1646" spans="7:23" x14ac:dyDescent="0.25">
      <c r="G1646" s="263"/>
      <c r="H1646" s="263"/>
      <c r="I1646" s="263"/>
      <c r="J1646" s="263"/>
      <c r="K1646" s="263"/>
      <c r="L1646" s="263"/>
      <c r="M1646" s="263"/>
      <c r="N1646" s="263"/>
      <c r="O1646" s="263"/>
      <c r="P1646" s="263"/>
      <c r="Q1646" s="263"/>
      <c r="R1646" s="263"/>
      <c r="S1646" s="263"/>
      <c r="T1646" s="263"/>
      <c r="U1646" s="263"/>
      <c r="W1646" s="263"/>
    </row>
    <row r="1647" spans="7:23" x14ac:dyDescent="0.25">
      <c r="G1647" s="263"/>
      <c r="H1647" s="263"/>
      <c r="I1647" s="263"/>
      <c r="J1647" s="263"/>
      <c r="K1647" s="263"/>
      <c r="L1647" s="263"/>
      <c r="M1647" s="263"/>
      <c r="N1647" s="263"/>
      <c r="O1647" s="263"/>
      <c r="P1647" s="263"/>
      <c r="Q1647" s="263"/>
      <c r="R1647" s="263"/>
      <c r="S1647" s="263"/>
      <c r="T1647" s="263"/>
      <c r="U1647" s="263"/>
    </row>
    <row r="1649" spans="7:23" x14ac:dyDescent="0.25">
      <c r="W1649" s="263"/>
    </row>
    <row r="1650" spans="7:23" x14ac:dyDescent="0.25">
      <c r="G1650" s="263"/>
      <c r="H1650" s="263"/>
      <c r="I1650" s="263"/>
      <c r="J1650" s="263"/>
      <c r="K1650" s="263"/>
      <c r="L1650" s="263"/>
      <c r="M1650" s="263"/>
      <c r="N1650" s="263"/>
      <c r="O1650" s="263"/>
      <c r="P1650" s="263"/>
      <c r="Q1650" s="263"/>
      <c r="R1650" s="263"/>
      <c r="S1650" s="263"/>
      <c r="T1650" s="263"/>
      <c r="U1650" s="263"/>
    </row>
    <row r="1652" spans="7:23" x14ac:dyDescent="0.25">
      <c r="W1652" s="263"/>
    </row>
    <row r="1653" spans="7:23" x14ac:dyDescent="0.25">
      <c r="G1653" s="263"/>
      <c r="H1653" s="263"/>
      <c r="I1653" s="263"/>
      <c r="J1653" s="263"/>
      <c r="K1653" s="263"/>
      <c r="L1653" s="263"/>
      <c r="M1653" s="263"/>
      <c r="N1653" s="263"/>
      <c r="O1653" s="263"/>
      <c r="P1653" s="263"/>
      <c r="Q1653" s="263"/>
      <c r="R1653" s="263"/>
      <c r="S1653" s="263"/>
      <c r="T1653" s="263"/>
      <c r="U1653" s="263"/>
      <c r="W1653" s="263"/>
    </row>
    <row r="1654" spans="7:23" x14ac:dyDescent="0.25">
      <c r="G1654" s="263"/>
      <c r="H1654" s="263"/>
      <c r="I1654" s="263"/>
      <c r="J1654" s="263"/>
      <c r="K1654" s="263"/>
      <c r="L1654" s="263"/>
      <c r="M1654" s="263"/>
      <c r="N1654" s="263"/>
      <c r="O1654" s="263"/>
      <c r="P1654" s="263"/>
      <c r="Q1654" s="263"/>
      <c r="R1654" s="263"/>
      <c r="S1654" s="263"/>
      <c r="T1654" s="263"/>
      <c r="U1654" s="263"/>
      <c r="W1654" s="263"/>
    </row>
    <row r="1655" spans="7:23" x14ac:dyDescent="0.25">
      <c r="G1655" s="263"/>
      <c r="H1655" s="263"/>
      <c r="I1655" s="263"/>
      <c r="J1655" s="263"/>
      <c r="K1655" s="263"/>
      <c r="L1655" s="263"/>
      <c r="M1655" s="263"/>
      <c r="N1655" s="263"/>
      <c r="O1655" s="263"/>
      <c r="P1655" s="263"/>
      <c r="Q1655" s="263"/>
      <c r="R1655" s="263"/>
      <c r="S1655" s="263"/>
      <c r="T1655" s="263"/>
      <c r="U1655" s="263"/>
      <c r="W1655" s="263"/>
    </row>
    <row r="1656" spans="7:23" x14ac:dyDescent="0.25">
      <c r="G1656" s="263"/>
      <c r="H1656" s="263"/>
      <c r="I1656" s="263"/>
      <c r="J1656" s="263"/>
      <c r="K1656" s="263"/>
      <c r="L1656" s="263"/>
      <c r="M1656" s="263"/>
      <c r="N1656" s="263"/>
      <c r="O1656" s="263"/>
      <c r="P1656" s="263"/>
      <c r="Q1656" s="263"/>
      <c r="R1656" s="263"/>
      <c r="S1656" s="263"/>
      <c r="T1656" s="263"/>
      <c r="U1656" s="263"/>
    </row>
    <row r="1658" spans="7:23" x14ac:dyDescent="0.25">
      <c r="W1658" s="263"/>
    </row>
    <row r="1659" spans="7:23" x14ac:dyDescent="0.25">
      <c r="G1659" s="263"/>
      <c r="H1659" s="263"/>
      <c r="I1659" s="263"/>
      <c r="J1659" s="263"/>
      <c r="K1659" s="263"/>
      <c r="L1659" s="263"/>
      <c r="M1659" s="263"/>
      <c r="N1659" s="263"/>
      <c r="O1659" s="263"/>
      <c r="P1659" s="263"/>
      <c r="Q1659" s="263"/>
      <c r="R1659" s="263"/>
      <c r="S1659" s="263"/>
      <c r="T1659" s="263"/>
      <c r="U1659" s="263"/>
    </row>
    <row r="1663" spans="7:23" x14ac:dyDescent="0.25">
      <c r="W1663" s="263"/>
    </row>
    <row r="1664" spans="7:23" x14ac:dyDescent="0.25">
      <c r="G1664" s="263"/>
      <c r="H1664" s="263"/>
      <c r="I1664" s="263"/>
      <c r="J1664" s="263"/>
      <c r="K1664" s="263"/>
      <c r="L1664" s="263"/>
      <c r="M1664" s="263"/>
      <c r="N1664" s="263"/>
      <c r="O1664" s="263"/>
      <c r="P1664" s="263"/>
      <c r="Q1664" s="263"/>
      <c r="R1664" s="263"/>
      <c r="S1664" s="263"/>
      <c r="T1664" s="263"/>
      <c r="U1664" s="263"/>
      <c r="W1664" s="263"/>
    </row>
    <row r="1665" spans="7:23" x14ac:dyDescent="0.25">
      <c r="G1665" s="263"/>
      <c r="H1665" s="263"/>
      <c r="I1665" s="263"/>
      <c r="J1665" s="263"/>
      <c r="K1665" s="263"/>
      <c r="L1665" s="263"/>
      <c r="M1665" s="263"/>
      <c r="N1665" s="263"/>
      <c r="O1665" s="263"/>
      <c r="P1665" s="263"/>
      <c r="Q1665" s="263"/>
      <c r="R1665" s="263"/>
      <c r="S1665" s="263"/>
      <c r="T1665" s="263"/>
      <c r="U1665" s="263"/>
      <c r="W1665" s="263"/>
    </row>
    <row r="1666" spans="7:23" x14ac:dyDescent="0.25">
      <c r="G1666" s="263"/>
      <c r="H1666" s="263"/>
      <c r="I1666" s="263"/>
      <c r="J1666" s="263"/>
      <c r="K1666" s="263"/>
      <c r="L1666" s="263"/>
      <c r="M1666" s="263"/>
      <c r="N1666" s="263"/>
      <c r="O1666" s="263"/>
      <c r="P1666" s="263"/>
      <c r="Q1666" s="263"/>
      <c r="R1666" s="263"/>
      <c r="S1666" s="263"/>
      <c r="T1666" s="263"/>
      <c r="U1666" s="263"/>
      <c r="W1666" s="263"/>
    </row>
    <row r="1667" spans="7:23" x14ac:dyDescent="0.25">
      <c r="G1667" s="263"/>
      <c r="H1667" s="263"/>
      <c r="I1667" s="263"/>
      <c r="J1667" s="263"/>
      <c r="K1667" s="263"/>
      <c r="L1667" s="263"/>
      <c r="M1667" s="263"/>
      <c r="N1667" s="263"/>
      <c r="O1667" s="263"/>
      <c r="P1667" s="263"/>
      <c r="Q1667" s="263"/>
      <c r="R1667" s="263"/>
      <c r="S1667" s="263"/>
      <c r="T1667" s="263"/>
      <c r="U1667" s="263"/>
      <c r="W1667" s="263"/>
    </row>
    <row r="1668" spans="7:23" x14ac:dyDescent="0.25">
      <c r="G1668" s="263"/>
      <c r="H1668" s="263"/>
      <c r="I1668" s="263"/>
      <c r="J1668" s="263"/>
      <c r="K1668" s="263"/>
      <c r="L1668" s="263"/>
      <c r="M1668" s="263"/>
      <c r="N1668" s="263"/>
      <c r="O1668" s="263"/>
      <c r="P1668" s="263"/>
      <c r="Q1668" s="263"/>
      <c r="R1668" s="263"/>
      <c r="S1668" s="263"/>
      <c r="T1668" s="263"/>
      <c r="U1668" s="263"/>
      <c r="W1668" s="263"/>
    </row>
    <row r="1669" spans="7:23" x14ac:dyDescent="0.25">
      <c r="G1669" s="263"/>
      <c r="H1669" s="263"/>
      <c r="I1669" s="263"/>
      <c r="J1669" s="263"/>
      <c r="K1669" s="263"/>
      <c r="L1669" s="263"/>
      <c r="M1669" s="263"/>
      <c r="N1669" s="263"/>
      <c r="O1669" s="263"/>
      <c r="P1669" s="263"/>
      <c r="Q1669" s="263"/>
      <c r="R1669" s="263"/>
      <c r="S1669" s="263"/>
      <c r="T1669" s="263"/>
      <c r="U1669" s="263"/>
      <c r="W1669" s="263"/>
    </row>
    <row r="1670" spans="7:23" x14ac:dyDescent="0.25">
      <c r="G1670" s="263"/>
      <c r="H1670" s="263"/>
      <c r="I1670" s="263"/>
      <c r="J1670" s="263"/>
      <c r="K1670" s="263"/>
      <c r="L1670" s="263"/>
      <c r="M1670" s="263"/>
      <c r="N1670" s="263"/>
      <c r="O1670" s="263"/>
      <c r="P1670" s="263"/>
      <c r="Q1670" s="263"/>
      <c r="R1670" s="263"/>
      <c r="S1670" s="263"/>
      <c r="T1670" s="263"/>
      <c r="U1670" s="263"/>
      <c r="W1670" s="263"/>
    </row>
    <row r="1671" spans="7:23" x14ac:dyDescent="0.25">
      <c r="G1671" s="263"/>
      <c r="H1671" s="263"/>
      <c r="I1671" s="263"/>
      <c r="J1671" s="263"/>
      <c r="K1671" s="263"/>
      <c r="L1671" s="263"/>
      <c r="M1671" s="263"/>
      <c r="N1671" s="263"/>
      <c r="O1671" s="263"/>
      <c r="P1671" s="263"/>
      <c r="Q1671" s="263"/>
      <c r="R1671" s="263"/>
      <c r="S1671" s="263"/>
      <c r="T1671" s="263"/>
      <c r="U1671" s="263"/>
      <c r="W1671" s="263"/>
    </row>
    <row r="1672" spans="7:23" x14ac:dyDescent="0.25">
      <c r="G1672" s="263"/>
      <c r="H1672" s="263"/>
      <c r="I1672" s="263"/>
      <c r="J1672" s="263"/>
      <c r="K1672" s="263"/>
      <c r="L1672" s="263"/>
      <c r="M1672" s="263"/>
      <c r="N1672" s="263"/>
      <c r="O1672" s="263"/>
      <c r="P1672" s="263"/>
      <c r="Q1672" s="263"/>
      <c r="R1672" s="263"/>
      <c r="S1672" s="263"/>
      <c r="T1672" s="263"/>
      <c r="U1672" s="263"/>
      <c r="W1672" s="263"/>
    </row>
    <row r="1673" spans="7:23" x14ac:dyDescent="0.25">
      <c r="G1673" s="263"/>
      <c r="H1673" s="263"/>
      <c r="I1673" s="263"/>
      <c r="J1673" s="263"/>
      <c r="K1673" s="263"/>
      <c r="L1673" s="263"/>
      <c r="M1673" s="263"/>
      <c r="N1673" s="263"/>
      <c r="O1673" s="263"/>
      <c r="P1673" s="263"/>
      <c r="Q1673" s="263"/>
      <c r="R1673" s="263"/>
      <c r="S1673" s="263"/>
      <c r="T1673" s="263"/>
      <c r="U1673" s="263"/>
      <c r="W1673" s="263"/>
    </row>
    <row r="1674" spans="7:23" x14ac:dyDescent="0.25">
      <c r="G1674" s="263"/>
      <c r="H1674" s="263"/>
      <c r="I1674" s="263"/>
      <c r="J1674" s="263"/>
      <c r="K1674" s="263"/>
      <c r="L1674" s="263"/>
      <c r="M1674" s="263"/>
      <c r="N1674" s="263"/>
      <c r="O1674" s="263"/>
      <c r="P1674" s="263"/>
      <c r="Q1674" s="263"/>
      <c r="R1674" s="263"/>
      <c r="S1674" s="263"/>
      <c r="T1674" s="263"/>
      <c r="U1674" s="263"/>
      <c r="W1674" s="263"/>
    </row>
    <row r="1675" spans="7:23" x14ac:dyDescent="0.25">
      <c r="G1675" s="263"/>
      <c r="H1675" s="263"/>
      <c r="I1675" s="263"/>
      <c r="J1675" s="263"/>
      <c r="K1675" s="263"/>
      <c r="L1675" s="263"/>
      <c r="M1675" s="263"/>
      <c r="N1675" s="263"/>
      <c r="O1675" s="263"/>
      <c r="P1675" s="263"/>
      <c r="Q1675" s="263"/>
      <c r="R1675" s="263"/>
      <c r="S1675" s="263"/>
      <c r="T1675" s="263"/>
      <c r="U1675" s="263"/>
      <c r="W1675" s="263"/>
    </row>
    <row r="1676" spans="7:23" x14ac:dyDescent="0.25">
      <c r="G1676" s="263"/>
      <c r="H1676" s="263"/>
      <c r="I1676" s="263"/>
      <c r="J1676" s="263"/>
      <c r="K1676" s="263"/>
      <c r="L1676" s="263"/>
      <c r="M1676" s="263"/>
      <c r="N1676" s="263"/>
      <c r="O1676" s="263"/>
      <c r="P1676" s="263"/>
      <c r="Q1676" s="263"/>
      <c r="R1676" s="263"/>
      <c r="S1676" s="263"/>
      <c r="T1676" s="263"/>
      <c r="U1676" s="263"/>
      <c r="W1676" s="263"/>
    </row>
    <row r="1677" spans="7:23" x14ac:dyDescent="0.25">
      <c r="G1677" s="263"/>
      <c r="H1677" s="263"/>
      <c r="I1677" s="263"/>
      <c r="J1677" s="263"/>
      <c r="K1677" s="263"/>
      <c r="L1677" s="263"/>
      <c r="M1677" s="263"/>
      <c r="N1677" s="263"/>
      <c r="O1677" s="263"/>
      <c r="P1677" s="263"/>
      <c r="Q1677" s="263"/>
      <c r="R1677" s="263"/>
      <c r="S1677" s="263"/>
      <c r="T1677" s="263"/>
      <c r="U1677" s="263"/>
      <c r="W1677" s="263"/>
    </row>
    <row r="1678" spans="7:23" x14ac:dyDescent="0.25">
      <c r="G1678" s="263"/>
      <c r="H1678" s="263"/>
      <c r="I1678" s="263"/>
      <c r="J1678" s="263"/>
      <c r="K1678" s="263"/>
      <c r="L1678" s="263"/>
      <c r="M1678" s="263"/>
      <c r="N1678" s="263"/>
      <c r="O1678" s="263"/>
      <c r="P1678" s="263"/>
      <c r="Q1678" s="263"/>
      <c r="R1678" s="263"/>
      <c r="S1678" s="263"/>
      <c r="T1678" s="263"/>
      <c r="U1678" s="263"/>
      <c r="W1678" s="263"/>
    </row>
    <row r="1679" spans="7:23" x14ac:dyDescent="0.25">
      <c r="G1679" s="263"/>
      <c r="H1679" s="263"/>
      <c r="I1679" s="263"/>
      <c r="J1679" s="263"/>
      <c r="K1679" s="263"/>
      <c r="L1679" s="263"/>
      <c r="M1679" s="263"/>
      <c r="N1679" s="263"/>
      <c r="O1679" s="263"/>
      <c r="P1679" s="263"/>
      <c r="Q1679" s="263"/>
      <c r="R1679" s="263"/>
      <c r="S1679" s="263"/>
      <c r="T1679" s="263"/>
      <c r="U1679" s="263"/>
      <c r="W1679" s="263"/>
    </row>
    <row r="1680" spans="7:23" x14ac:dyDescent="0.25">
      <c r="G1680" s="263"/>
      <c r="H1680" s="263"/>
      <c r="I1680" s="263"/>
      <c r="J1680" s="263"/>
      <c r="K1680" s="263"/>
      <c r="L1680" s="263"/>
      <c r="M1680" s="263"/>
      <c r="N1680" s="263"/>
      <c r="O1680" s="263"/>
      <c r="P1680" s="263"/>
      <c r="Q1680" s="263"/>
      <c r="R1680" s="263"/>
      <c r="S1680" s="263"/>
      <c r="T1680" s="263"/>
      <c r="U1680" s="263"/>
      <c r="W1680" s="263"/>
    </row>
    <row r="1681" spans="7:23" x14ac:dyDescent="0.25">
      <c r="G1681" s="263"/>
      <c r="H1681" s="263"/>
      <c r="I1681" s="263"/>
      <c r="J1681" s="263"/>
      <c r="K1681" s="263"/>
      <c r="L1681" s="263"/>
      <c r="M1681" s="263"/>
      <c r="N1681" s="263"/>
      <c r="O1681" s="263"/>
      <c r="P1681" s="263"/>
      <c r="Q1681" s="263"/>
      <c r="R1681" s="263"/>
      <c r="S1681" s="263"/>
      <c r="T1681" s="263"/>
      <c r="U1681" s="263"/>
      <c r="W1681" s="263"/>
    </row>
    <row r="1682" spans="7:23" x14ac:dyDescent="0.25">
      <c r="G1682" s="263"/>
      <c r="H1682" s="263"/>
      <c r="I1682" s="263"/>
      <c r="J1682" s="263"/>
      <c r="K1682" s="263"/>
      <c r="L1682" s="263"/>
      <c r="M1682" s="263"/>
      <c r="N1682" s="263"/>
      <c r="O1682" s="263"/>
      <c r="P1682" s="263"/>
      <c r="Q1682" s="263"/>
      <c r="R1682" s="263"/>
      <c r="S1682" s="263"/>
      <c r="T1682" s="263"/>
      <c r="U1682" s="263"/>
    </row>
    <row r="1684" spans="7:23" x14ac:dyDescent="0.25">
      <c r="W1684" s="263"/>
    </row>
    <row r="1685" spans="7:23" x14ac:dyDescent="0.25">
      <c r="G1685" s="263"/>
      <c r="H1685" s="263"/>
      <c r="I1685" s="263"/>
      <c r="J1685" s="263"/>
      <c r="K1685" s="263"/>
      <c r="L1685" s="263"/>
      <c r="M1685" s="263"/>
      <c r="N1685" s="263"/>
      <c r="O1685" s="263"/>
      <c r="P1685" s="263"/>
      <c r="Q1685" s="263"/>
      <c r="R1685" s="263"/>
      <c r="S1685" s="263"/>
      <c r="T1685" s="263"/>
      <c r="U1685" s="263"/>
      <c r="W1685" s="263"/>
    </row>
    <row r="1686" spans="7:23" x14ac:dyDescent="0.25">
      <c r="G1686" s="263"/>
      <c r="H1686" s="263"/>
      <c r="I1686" s="263"/>
      <c r="J1686" s="263"/>
      <c r="K1686" s="263"/>
      <c r="L1686" s="263"/>
      <c r="M1686" s="263"/>
      <c r="N1686" s="263"/>
      <c r="O1686" s="263"/>
      <c r="P1686" s="263"/>
      <c r="Q1686" s="263"/>
      <c r="R1686" s="263"/>
      <c r="S1686" s="263"/>
      <c r="T1686" s="263"/>
      <c r="U1686" s="263"/>
      <c r="W1686" s="263"/>
    </row>
    <row r="1687" spans="7:23" x14ac:dyDescent="0.25">
      <c r="G1687" s="263"/>
      <c r="H1687" s="263"/>
      <c r="I1687" s="263"/>
      <c r="J1687" s="263"/>
      <c r="K1687" s="263"/>
      <c r="L1687" s="263"/>
      <c r="M1687" s="263"/>
      <c r="N1687" s="263"/>
      <c r="O1687" s="263"/>
      <c r="P1687" s="263"/>
      <c r="Q1687" s="263"/>
      <c r="R1687" s="263"/>
      <c r="S1687" s="263"/>
      <c r="T1687" s="263"/>
      <c r="U1687" s="263"/>
      <c r="W1687" s="263"/>
    </row>
    <row r="1688" spans="7:23" x14ac:dyDescent="0.25">
      <c r="G1688" s="263"/>
      <c r="H1688" s="263"/>
      <c r="I1688" s="263"/>
      <c r="J1688" s="263"/>
      <c r="K1688" s="263"/>
      <c r="L1688" s="263"/>
      <c r="M1688" s="263"/>
      <c r="N1688" s="263"/>
      <c r="O1688" s="263"/>
      <c r="P1688" s="263"/>
      <c r="Q1688" s="263"/>
      <c r="R1688" s="263"/>
      <c r="S1688" s="263"/>
      <c r="T1688" s="263"/>
      <c r="U1688" s="263"/>
      <c r="W1688" s="263"/>
    </row>
    <row r="1689" spans="7:23" x14ac:dyDescent="0.25">
      <c r="G1689" s="263"/>
      <c r="H1689" s="263"/>
      <c r="I1689" s="263"/>
      <c r="J1689" s="263"/>
      <c r="K1689" s="263"/>
      <c r="L1689" s="263"/>
      <c r="M1689" s="263"/>
      <c r="N1689" s="263"/>
      <c r="O1689" s="263"/>
      <c r="P1689" s="263"/>
      <c r="Q1689" s="263"/>
      <c r="R1689" s="263"/>
      <c r="S1689" s="263"/>
      <c r="T1689" s="263"/>
      <c r="U1689" s="263"/>
      <c r="W1689" s="263"/>
    </row>
    <row r="1690" spans="7:23" x14ac:dyDescent="0.25">
      <c r="G1690" s="263"/>
      <c r="H1690" s="263"/>
      <c r="I1690" s="263"/>
      <c r="J1690" s="263"/>
      <c r="K1690" s="263"/>
      <c r="L1690" s="263"/>
      <c r="M1690" s="263"/>
      <c r="N1690" s="263"/>
      <c r="O1690" s="263"/>
      <c r="P1690" s="263"/>
      <c r="Q1690" s="263"/>
      <c r="R1690" s="263"/>
      <c r="S1690" s="263"/>
      <c r="T1690" s="263"/>
      <c r="U1690" s="263"/>
      <c r="W1690" s="263"/>
    </row>
    <row r="1691" spans="7:23" x14ac:dyDescent="0.25">
      <c r="G1691" s="263"/>
      <c r="H1691" s="263"/>
      <c r="I1691" s="263"/>
      <c r="J1691" s="263"/>
      <c r="K1691" s="263"/>
      <c r="L1691" s="263"/>
      <c r="M1691" s="263"/>
      <c r="N1691" s="263"/>
      <c r="O1691" s="263"/>
      <c r="P1691" s="263"/>
      <c r="Q1691" s="263"/>
      <c r="R1691" s="263"/>
      <c r="S1691" s="263"/>
      <c r="T1691" s="263"/>
      <c r="U1691" s="263"/>
      <c r="W1691" s="263"/>
    </row>
    <row r="1692" spans="7:23" x14ac:dyDescent="0.25">
      <c r="G1692" s="263"/>
      <c r="H1692" s="263"/>
      <c r="I1692" s="263"/>
      <c r="J1692" s="263"/>
      <c r="K1692" s="263"/>
      <c r="L1692" s="263"/>
      <c r="M1692" s="263"/>
      <c r="N1692" s="263"/>
      <c r="O1692" s="263"/>
      <c r="P1692" s="263"/>
      <c r="Q1692" s="263"/>
      <c r="R1692" s="263"/>
      <c r="S1692" s="263"/>
      <c r="T1692" s="263"/>
      <c r="U1692" s="263"/>
      <c r="W1692" s="263"/>
    </row>
    <row r="1693" spans="7:23" x14ac:dyDescent="0.25">
      <c r="G1693" s="263"/>
      <c r="H1693" s="263"/>
      <c r="I1693" s="263"/>
      <c r="J1693" s="263"/>
      <c r="K1693" s="263"/>
      <c r="L1693" s="263"/>
      <c r="M1693" s="263"/>
      <c r="N1693" s="263"/>
      <c r="O1693" s="263"/>
      <c r="P1693" s="263"/>
      <c r="Q1693" s="263"/>
      <c r="R1693" s="263"/>
      <c r="S1693" s="263"/>
      <c r="T1693" s="263"/>
      <c r="U1693" s="263"/>
      <c r="W1693" s="263"/>
    </row>
    <row r="1694" spans="7:23" x14ac:dyDescent="0.25">
      <c r="G1694" s="263"/>
      <c r="H1694" s="263"/>
      <c r="I1694" s="263"/>
      <c r="J1694" s="263"/>
      <c r="K1694" s="263"/>
      <c r="L1694" s="263"/>
      <c r="M1694" s="263"/>
      <c r="N1694" s="263"/>
      <c r="O1694" s="263"/>
      <c r="P1694" s="263"/>
      <c r="Q1694" s="263"/>
      <c r="R1694" s="263"/>
      <c r="S1694" s="263"/>
      <c r="T1694" s="263"/>
      <c r="U1694" s="263"/>
      <c r="W1694" s="263"/>
    </row>
    <row r="1695" spans="7:23" x14ac:dyDescent="0.25">
      <c r="G1695" s="263"/>
      <c r="H1695" s="263"/>
      <c r="I1695" s="263"/>
      <c r="J1695" s="263"/>
      <c r="K1695" s="263"/>
      <c r="L1695" s="263"/>
      <c r="M1695" s="263"/>
      <c r="N1695" s="263"/>
      <c r="O1695" s="263"/>
      <c r="P1695" s="263"/>
      <c r="Q1695" s="263"/>
      <c r="R1695" s="263"/>
      <c r="S1695" s="263"/>
      <c r="T1695" s="263"/>
      <c r="U1695" s="263"/>
      <c r="W1695" s="263"/>
    </row>
    <row r="1696" spans="7:23" x14ac:dyDescent="0.25">
      <c r="G1696" s="263"/>
      <c r="H1696" s="263"/>
      <c r="I1696" s="263"/>
      <c r="J1696" s="263"/>
      <c r="K1696" s="263"/>
      <c r="L1696" s="263"/>
      <c r="M1696" s="263"/>
      <c r="N1696" s="263"/>
      <c r="O1696" s="263"/>
      <c r="P1696" s="263"/>
      <c r="Q1696" s="263"/>
      <c r="R1696" s="263"/>
      <c r="S1696" s="263"/>
      <c r="T1696" s="263"/>
      <c r="U1696" s="263"/>
      <c r="W1696" s="263"/>
    </row>
    <row r="1697" spans="7:23" x14ac:dyDescent="0.25">
      <c r="G1697" s="263"/>
      <c r="H1697" s="263"/>
      <c r="I1697" s="263"/>
      <c r="J1697" s="263"/>
      <c r="K1697" s="263"/>
      <c r="L1697" s="263"/>
      <c r="M1697" s="263"/>
      <c r="N1697" s="263"/>
      <c r="O1697" s="263"/>
      <c r="P1697" s="263"/>
      <c r="Q1697" s="263"/>
      <c r="R1697" s="263"/>
      <c r="S1697" s="263"/>
      <c r="T1697" s="263"/>
      <c r="U1697" s="263"/>
      <c r="W1697" s="263"/>
    </row>
    <row r="1698" spans="7:23" x14ac:dyDescent="0.25">
      <c r="G1698" s="263"/>
      <c r="H1698" s="263"/>
      <c r="I1698" s="263"/>
      <c r="J1698" s="263"/>
      <c r="K1698" s="263"/>
      <c r="L1698" s="263"/>
      <c r="M1698" s="263"/>
      <c r="N1698" s="263"/>
      <c r="O1698" s="263"/>
      <c r="P1698" s="263"/>
      <c r="Q1698" s="263"/>
      <c r="R1698" s="263"/>
      <c r="S1698" s="263"/>
      <c r="T1698" s="263"/>
      <c r="U1698" s="263"/>
    </row>
    <row r="1700" spans="7:23" x14ac:dyDescent="0.25">
      <c r="W1700" s="263"/>
    </row>
    <row r="1701" spans="7:23" x14ac:dyDescent="0.25">
      <c r="G1701" s="263"/>
      <c r="H1701" s="263"/>
      <c r="I1701" s="263"/>
      <c r="J1701" s="263"/>
      <c r="K1701" s="263"/>
      <c r="L1701" s="263"/>
      <c r="M1701" s="263"/>
      <c r="N1701" s="263"/>
      <c r="O1701" s="263"/>
      <c r="P1701" s="263"/>
      <c r="Q1701" s="263"/>
      <c r="R1701" s="263"/>
      <c r="S1701" s="263"/>
      <c r="T1701" s="263"/>
      <c r="U1701" s="263"/>
      <c r="W1701" s="263"/>
    </row>
    <row r="1702" spans="7:23" x14ac:dyDescent="0.25">
      <c r="G1702" s="263"/>
      <c r="H1702" s="263"/>
      <c r="I1702" s="263"/>
      <c r="J1702" s="263"/>
      <c r="K1702" s="263"/>
      <c r="L1702" s="263"/>
      <c r="M1702" s="263"/>
      <c r="N1702" s="263"/>
      <c r="O1702" s="263"/>
      <c r="P1702" s="263"/>
      <c r="Q1702" s="263"/>
      <c r="R1702" s="263"/>
      <c r="S1702" s="263"/>
      <c r="T1702" s="263"/>
      <c r="U1702" s="263"/>
      <c r="W1702" s="263"/>
    </row>
    <row r="1703" spans="7:23" x14ac:dyDescent="0.25">
      <c r="G1703" s="263"/>
      <c r="H1703" s="263"/>
      <c r="I1703" s="263"/>
      <c r="J1703" s="263"/>
      <c r="K1703" s="263"/>
      <c r="L1703" s="263"/>
      <c r="M1703" s="263"/>
      <c r="N1703" s="263"/>
      <c r="O1703" s="263"/>
      <c r="P1703" s="263"/>
      <c r="Q1703" s="263"/>
      <c r="R1703" s="263"/>
      <c r="S1703" s="263"/>
      <c r="T1703" s="263"/>
      <c r="U1703" s="263"/>
      <c r="W1703" s="263"/>
    </row>
    <row r="1704" spans="7:23" x14ac:dyDescent="0.25">
      <c r="G1704" s="263"/>
      <c r="H1704" s="263"/>
      <c r="I1704" s="263"/>
      <c r="J1704" s="263"/>
      <c r="K1704" s="263"/>
      <c r="L1704" s="263"/>
      <c r="M1704" s="263"/>
      <c r="N1704" s="263"/>
      <c r="O1704" s="263"/>
      <c r="P1704" s="263"/>
      <c r="Q1704" s="263"/>
      <c r="R1704" s="263"/>
      <c r="S1704" s="263"/>
      <c r="T1704" s="263"/>
      <c r="U1704" s="263"/>
      <c r="W1704" s="263"/>
    </row>
    <row r="1705" spans="7:23" x14ac:dyDescent="0.25">
      <c r="G1705" s="263"/>
      <c r="H1705" s="263"/>
      <c r="I1705" s="263"/>
      <c r="J1705" s="263"/>
      <c r="K1705" s="263"/>
      <c r="L1705" s="263"/>
      <c r="M1705" s="263"/>
      <c r="N1705" s="263"/>
      <c r="O1705" s="263"/>
      <c r="P1705" s="263"/>
      <c r="Q1705" s="263"/>
      <c r="R1705" s="263"/>
      <c r="S1705" s="263"/>
      <c r="T1705" s="263"/>
      <c r="U1705" s="263"/>
    </row>
    <row r="1707" spans="7:23" x14ac:dyDescent="0.25">
      <c r="W1707" s="263"/>
    </row>
    <row r="1708" spans="7:23" x14ac:dyDescent="0.25">
      <c r="G1708" s="263"/>
      <c r="H1708" s="263"/>
      <c r="I1708" s="263"/>
      <c r="J1708" s="263"/>
      <c r="K1708" s="263"/>
      <c r="L1708" s="263"/>
      <c r="M1708" s="263"/>
      <c r="N1708" s="263"/>
      <c r="O1708" s="263"/>
      <c r="P1708" s="263"/>
      <c r="Q1708" s="263"/>
      <c r="R1708" s="263"/>
      <c r="S1708" s="263"/>
      <c r="T1708" s="263"/>
      <c r="U1708" s="263"/>
    </row>
    <row r="1710" spans="7:23" x14ac:dyDescent="0.25">
      <c r="W1710" s="263"/>
    </row>
    <row r="1711" spans="7:23" x14ac:dyDescent="0.25">
      <c r="G1711" s="263"/>
      <c r="H1711" s="263"/>
      <c r="I1711" s="263"/>
      <c r="J1711" s="263"/>
      <c r="K1711" s="263"/>
      <c r="L1711" s="263"/>
      <c r="M1711" s="263"/>
      <c r="N1711" s="263"/>
      <c r="O1711" s="263"/>
      <c r="P1711" s="263"/>
      <c r="Q1711" s="263"/>
      <c r="R1711" s="263"/>
      <c r="S1711" s="263"/>
      <c r="T1711" s="263"/>
      <c r="U1711" s="263"/>
    </row>
    <row r="1713" spans="7:23" x14ac:dyDescent="0.25">
      <c r="W1713" s="263"/>
    </row>
    <row r="1714" spans="7:23" x14ac:dyDescent="0.25">
      <c r="G1714" s="263"/>
      <c r="H1714" s="263"/>
      <c r="I1714" s="263"/>
      <c r="J1714" s="263"/>
      <c r="K1714" s="263"/>
      <c r="L1714" s="263"/>
      <c r="M1714" s="263"/>
      <c r="N1714" s="263"/>
      <c r="O1714" s="263"/>
      <c r="P1714" s="263"/>
      <c r="Q1714" s="263"/>
      <c r="R1714" s="263"/>
      <c r="S1714" s="263"/>
      <c r="T1714" s="263"/>
      <c r="U1714" s="263"/>
      <c r="W1714" s="263"/>
    </row>
    <row r="1715" spans="7:23" x14ac:dyDescent="0.25">
      <c r="G1715" s="263"/>
      <c r="H1715" s="263"/>
      <c r="I1715" s="263"/>
      <c r="J1715" s="263"/>
      <c r="K1715" s="263"/>
      <c r="L1715" s="263"/>
      <c r="M1715" s="263"/>
      <c r="N1715" s="263"/>
      <c r="O1715" s="263"/>
      <c r="P1715" s="263"/>
      <c r="Q1715" s="263"/>
      <c r="R1715" s="263"/>
      <c r="S1715" s="263"/>
      <c r="T1715" s="263"/>
      <c r="U1715" s="263"/>
      <c r="W1715" s="263"/>
    </row>
    <row r="1716" spans="7:23" x14ac:dyDescent="0.25">
      <c r="G1716" s="263"/>
      <c r="H1716" s="263"/>
      <c r="I1716" s="263"/>
      <c r="J1716" s="263"/>
      <c r="K1716" s="263"/>
      <c r="L1716" s="263"/>
      <c r="M1716" s="263"/>
      <c r="N1716" s="263"/>
      <c r="O1716" s="263"/>
      <c r="P1716" s="263"/>
      <c r="Q1716" s="263"/>
      <c r="R1716" s="263"/>
      <c r="S1716" s="263"/>
      <c r="T1716" s="263"/>
      <c r="U1716" s="263"/>
      <c r="W1716" s="263"/>
    </row>
    <row r="1717" spans="7:23" x14ac:dyDescent="0.25">
      <c r="G1717" s="263"/>
      <c r="H1717" s="263"/>
      <c r="I1717" s="263"/>
      <c r="J1717" s="263"/>
      <c r="K1717" s="263"/>
      <c r="L1717" s="263"/>
      <c r="M1717" s="263"/>
      <c r="N1717" s="263"/>
      <c r="O1717" s="263"/>
      <c r="P1717" s="263"/>
      <c r="Q1717" s="263"/>
      <c r="R1717" s="263"/>
      <c r="S1717" s="263"/>
      <c r="T1717" s="263"/>
      <c r="U1717" s="263"/>
    </row>
    <row r="1719" spans="7:23" x14ac:dyDescent="0.25">
      <c r="W1719" s="263"/>
    </row>
    <row r="1720" spans="7:23" x14ac:dyDescent="0.25">
      <c r="G1720" s="263"/>
      <c r="H1720" s="263"/>
      <c r="I1720" s="263"/>
      <c r="J1720" s="263"/>
      <c r="K1720" s="263"/>
      <c r="L1720" s="263"/>
      <c r="M1720" s="263"/>
      <c r="N1720" s="263"/>
      <c r="O1720" s="263"/>
      <c r="P1720" s="263"/>
      <c r="Q1720" s="263"/>
      <c r="R1720" s="263"/>
      <c r="S1720" s="263"/>
      <c r="T1720" s="263"/>
      <c r="U1720" s="263"/>
    </row>
    <row r="1722" spans="7:23" x14ac:dyDescent="0.25">
      <c r="W1722" s="263"/>
    </row>
    <row r="1723" spans="7:23" x14ac:dyDescent="0.25">
      <c r="G1723" s="263"/>
      <c r="H1723" s="263"/>
      <c r="I1723" s="263"/>
      <c r="J1723" s="263"/>
      <c r="K1723" s="263"/>
      <c r="L1723" s="263"/>
      <c r="M1723" s="263"/>
      <c r="N1723" s="263"/>
      <c r="O1723" s="263"/>
      <c r="P1723" s="263"/>
      <c r="Q1723" s="263"/>
      <c r="R1723" s="263"/>
      <c r="S1723" s="263"/>
      <c r="T1723" s="263"/>
      <c r="U1723" s="263"/>
      <c r="W1723" s="263"/>
    </row>
    <row r="1724" spans="7:23" x14ac:dyDescent="0.25">
      <c r="G1724" s="263"/>
      <c r="H1724" s="263"/>
      <c r="I1724" s="263"/>
      <c r="J1724" s="263"/>
      <c r="K1724" s="263"/>
      <c r="L1724" s="263"/>
      <c r="M1724" s="263"/>
      <c r="N1724" s="263"/>
      <c r="O1724" s="263"/>
      <c r="P1724" s="263"/>
      <c r="Q1724" s="263"/>
      <c r="R1724" s="263"/>
      <c r="S1724" s="263"/>
      <c r="T1724" s="263"/>
      <c r="U1724" s="263"/>
      <c r="W1724" s="263"/>
    </row>
    <row r="1725" spans="7:23" x14ac:dyDescent="0.25">
      <c r="G1725" s="263"/>
      <c r="H1725" s="263"/>
      <c r="I1725" s="263"/>
      <c r="J1725" s="263"/>
      <c r="K1725" s="263"/>
      <c r="L1725" s="263"/>
      <c r="M1725" s="263"/>
      <c r="N1725" s="263"/>
      <c r="O1725" s="263"/>
      <c r="P1725" s="263"/>
      <c r="Q1725" s="263"/>
      <c r="R1725" s="263"/>
      <c r="S1725" s="263"/>
      <c r="T1725" s="263"/>
      <c r="U1725" s="263"/>
      <c r="W1725" s="263"/>
    </row>
    <row r="1726" spans="7:23" x14ac:dyDescent="0.25">
      <c r="G1726" s="263"/>
      <c r="H1726" s="263"/>
      <c r="I1726" s="263"/>
      <c r="J1726" s="263"/>
      <c r="K1726" s="263"/>
      <c r="L1726" s="263"/>
      <c r="M1726" s="263"/>
      <c r="N1726" s="263"/>
      <c r="O1726" s="263"/>
      <c r="P1726" s="263"/>
      <c r="Q1726" s="263"/>
      <c r="R1726" s="263"/>
      <c r="S1726" s="263"/>
      <c r="T1726" s="263"/>
      <c r="U1726" s="263"/>
    </row>
    <row r="1728" spans="7:23" x14ac:dyDescent="0.25">
      <c r="W1728" s="263"/>
    </row>
    <row r="1729" spans="7:23" x14ac:dyDescent="0.25">
      <c r="G1729" s="263"/>
      <c r="H1729" s="263"/>
      <c r="I1729" s="263"/>
      <c r="J1729" s="263"/>
      <c r="K1729" s="263"/>
      <c r="L1729" s="263"/>
      <c r="M1729" s="263"/>
      <c r="N1729" s="263"/>
      <c r="O1729" s="263"/>
      <c r="P1729" s="263"/>
      <c r="Q1729" s="263"/>
      <c r="R1729" s="263"/>
      <c r="S1729" s="263"/>
      <c r="T1729" s="263"/>
      <c r="U1729" s="263"/>
      <c r="W1729" s="263"/>
    </row>
    <row r="1730" spans="7:23" x14ac:dyDescent="0.25">
      <c r="G1730" s="263"/>
      <c r="H1730" s="263"/>
      <c r="I1730" s="263"/>
      <c r="J1730" s="263"/>
      <c r="K1730" s="263"/>
      <c r="L1730" s="263"/>
      <c r="M1730" s="263"/>
      <c r="N1730" s="263"/>
      <c r="O1730" s="263"/>
      <c r="P1730" s="263"/>
      <c r="Q1730" s="263"/>
      <c r="R1730" s="263"/>
      <c r="S1730" s="263"/>
      <c r="T1730" s="263"/>
      <c r="U1730" s="263"/>
      <c r="W1730" s="263"/>
    </row>
    <row r="1731" spans="7:23" x14ac:dyDescent="0.25">
      <c r="G1731" s="263"/>
      <c r="H1731" s="263"/>
      <c r="I1731" s="263"/>
      <c r="J1731" s="263"/>
      <c r="K1731" s="263"/>
      <c r="L1731" s="263"/>
      <c r="M1731" s="263"/>
      <c r="N1731" s="263"/>
      <c r="O1731" s="263"/>
      <c r="P1731" s="263"/>
      <c r="Q1731" s="263"/>
      <c r="R1731" s="263"/>
      <c r="S1731" s="263"/>
      <c r="T1731" s="263"/>
      <c r="U1731" s="263"/>
      <c r="W1731" s="263"/>
    </row>
    <row r="1732" spans="7:23" x14ac:dyDescent="0.25">
      <c r="G1732" s="263"/>
      <c r="H1732" s="263"/>
      <c r="I1732" s="263"/>
      <c r="J1732" s="263"/>
      <c r="K1732" s="263"/>
      <c r="L1732" s="263"/>
      <c r="M1732" s="263"/>
      <c r="N1732" s="263"/>
      <c r="O1732" s="263"/>
      <c r="P1732" s="263"/>
      <c r="Q1732" s="263"/>
      <c r="R1732" s="263"/>
      <c r="S1732" s="263"/>
      <c r="T1732" s="263"/>
      <c r="U1732" s="263"/>
      <c r="W1732" s="263"/>
    </row>
    <row r="1733" spans="7:23" x14ac:dyDescent="0.25">
      <c r="G1733" s="263"/>
      <c r="H1733" s="263"/>
      <c r="I1733" s="263"/>
      <c r="J1733" s="263"/>
      <c r="K1733" s="263"/>
      <c r="L1733" s="263"/>
      <c r="M1733" s="263"/>
      <c r="N1733" s="263"/>
      <c r="O1733" s="263"/>
      <c r="P1733" s="263"/>
      <c r="Q1733" s="263"/>
      <c r="R1733" s="263"/>
      <c r="S1733" s="263"/>
      <c r="T1733" s="263"/>
      <c r="U1733" s="263"/>
    </row>
    <row r="1735" spans="7:23" x14ac:dyDescent="0.25">
      <c r="W1735" s="263"/>
    </row>
    <row r="1736" spans="7:23" x14ac:dyDescent="0.25">
      <c r="G1736" s="263"/>
      <c r="H1736" s="263"/>
      <c r="I1736" s="263"/>
      <c r="J1736" s="263"/>
      <c r="K1736" s="263"/>
      <c r="L1736" s="263"/>
      <c r="M1736" s="263"/>
      <c r="N1736" s="263"/>
      <c r="O1736" s="263"/>
      <c r="P1736" s="263"/>
      <c r="Q1736" s="263"/>
      <c r="R1736" s="263"/>
      <c r="S1736" s="263"/>
      <c r="T1736" s="263"/>
      <c r="U1736" s="263"/>
      <c r="W1736" s="263"/>
    </row>
    <row r="1737" spans="7:23" x14ac:dyDescent="0.25">
      <c r="G1737" s="263"/>
      <c r="H1737" s="263"/>
      <c r="I1737" s="263"/>
      <c r="J1737" s="263"/>
      <c r="K1737" s="263"/>
      <c r="L1737" s="263"/>
      <c r="M1737" s="263"/>
      <c r="N1737" s="263"/>
      <c r="O1737" s="263"/>
      <c r="P1737" s="263"/>
      <c r="Q1737" s="263"/>
      <c r="R1737" s="263"/>
      <c r="S1737" s="263"/>
      <c r="T1737" s="263"/>
      <c r="U1737" s="263"/>
      <c r="W1737" s="263"/>
    </row>
    <row r="1738" spans="7:23" x14ac:dyDescent="0.25">
      <c r="G1738" s="263"/>
      <c r="H1738" s="263"/>
      <c r="I1738" s="263"/>
      <c r="J1738" s="263"/>
      <c r="K1738" s="263"/>
      <c r="L1738" s="263"/>
      <c r="M1738" s="263"/>
      <c r="N1738" s="263"/>
      <c r="O1738" s="263"/>
      <c r="P1738" s="263"/>
      <c r="Q1738" s="263"/>
      <c r="R1738" s="263"/>
      <c r="S1738" s="263"/>
      <c r="T1738" s="263"/>
      <c r="U1738" s="263"/>
      <c r="W1738" s="263"/>
    </row>
    <row r="1739" spans="7:23" x14ac:dyDescent="0.25">
      <c r="G1739" s="263"/>
      <c r="H1739" s="263"/>
      <c r="I1739" s="263"/>
      <c r="J1739" s="263"/>
      <c r="K1739" s="263"/>
      <c r="L1739" s="263"/>
      <c r="M1739" s="263"/>
      <c r="N1739" s="263"/>
      <c r="O1739" s="263"/>
      <c r="P1739" s="263"/>
      <c r="Q1739" s="263"/>
      <c r="R1739" s="263"/>
      <c r="S1739" s="263"/>
      <c r="T1739" s="263"/>
      <c r="U1739" s="263"/>
      <c r="W1739" s="263"/>
    </row>
    <row r="1740" spans="7:23" x14ac:dyDescent="0.25">
      <c r="G1740" s="263"/>
      <c r="H1740" s="263"/>
      <c r="I1740" s="263"/>
      <c r="J1740" s="263"/>
      <c r="K1740" s="263"/>
      <c r="L1740" s="263"/>
      <c r="M1740" s="263"/>
      <c r="N1740" s="263"/>
      <c r="O1740" s="263"/>
      <c r="P1740" s="263"/>
      <c r="Q1740" s="263"/>
      <c r="R1740" s="263"/>
      <c r="S1740" s="263"/>
      <c r="T1740" s="263"/>
      <c r="U1740" s="263"/>
      <c r="W1740" s="263"/>
    </row>
    <row r="1741" spans="7:23" x14ac:dyDescent="0.25">
      <c r="G1741" s="263"/>
      <c r="H1741" s="263"/>
      <c r="I1741" s="263"/>
      <c r="J1741" s="263"/>
      <c r="K1741" s="263"/>
      <c r="L1741" s="263"/>
      <c r="M1741" s="263"/>
      <c r="N1741" s="263"/>
      <c r="O1741" s="263"/>
      <c r="P1741" s="263"/>
      <c r="Q1741" s="263"/>
      <c r="R1741" s="263"/>
      <c r="S1741" s="263"/>
      <c r="T1741" s="263"/>
      <c r="U1741" s="263"/>
      <c r="W1741" s="263"/>
    </row>
    <row r="1742" spans="7:23" x14ac:dyDescent="0.25">
      <c r="G1742" s="263"/>
      <c r="H1742" s="263"/>
      <c r="I1742" s="263"/>
      <c r="J1742" s="263"/>
      <c r="K1742" s="263"/>
      <c r="L1742" s="263"/>
      <c r="M1742" s="263"/>
      <c r="N1742" s="263"/>
      <c r="O1742" s="263"/>
      <c r="P1742" s="263"/>
      <c r="Q1742" s="263"/>
      <c r="R1742" s="263"/>
      <c r="S1742" s="263"/>
      <c r="T1742" s="263"/>
      <c r="U1742" s="263"/>
      <c r="W1742" s="263"/>
    </row>
    <row r="1743" spans="7:23" x14ac:dyDescent="0.25">
      <c r="G1743" s="263"/>
      <c r="H1743" s="263"/>
      <c r="I1743" s="263"/>
      <c r="J1743" s="263"/>
      <c r="K1743" s="263"/>
      <c r="L1743" s="263"/>
      <c r="M1743" s="263"/>
      <c r="N1743" s="263"/>
      <c r="O1743" s="263"/>
      <c r="P1743" s="263"/>
      <c r="Q1743" s="263"/>
      <c r="R1743" s="263"/>
      <c r="S1743" s="263"/>
      <c r="T1743" s="263"/>
      <c r="U1743" s="263"/>
      <c r="W1743" s="263"/>
    </row>
    <row r="1744" spans="7:23" x14ac:dyDescent="0.25">
      <c r="G1744" s="263"/>
      <c r="H1744" s="263"/>
      <c r="I1744" s="263"/>
      <c r="J1744" s="263"/>
      <c r="K1744" s="263"/>
      <c r="L1744" s="263"/>
      <c r="M1744" s="263"/>
      <c r="N1744" s="263"/>
      <c r="O1744" s="263"/>
      <c r="P1744" s="263"/>
      <c r="Q1744" s="263"/>
      <c r="R1744" s="263"/>
      <c r="S1744" s="263"/>
      <c r="T1744" s="263"/>
      <c r="U1744" s="263"/>
      <c r="W1744" s="263"/>
    </row>
    <row r="1745" spans="7:23" x14ac:dyDescent="0.25">
      <c r="G1745" s="263"/>
      <c r="H1745" s="263"/>
      <c r="I1745" s="263"/>
      <c r="J1745" s="263"/>
      <c r="K1745" s="263"/>
      <c r="L1745" s="263"/>
      <c r="M1745" s="263"/>
      <c r="N1745" s="263"/>
      <c r="O1745" s="263"/>
      <c r="P1745" s="263"/>
      <c r="Q1745" s="263"/>
      <c r="R1745" s="263"/>
      <c r="S1745" s="263"/>
      <c r="T1745" s="263"/>
      <c r="U1745" s="263"/>
      <c r="W1745" s="263"/>
    </row>
    <row r="1746" spans="7:23" x14ac:dyDescent="0.25">
      <c r="G1746" s="263"/>
      <c r="H1746" s="263"/>
      <c r="I1746" s="263"/>
      <c r="J1746" s="263"/>
      <c r="K1746" s="263"/>
      <c r="L1746" s="263"/>
      <c r="M1746" s="263"/>
      <c r="N1746" s="263"/>
      <c r="O1746" s="263"/>
      <c r="P1746" s="263"/>
      <c r="Q1746" s="263"/>
      <c r="R1746" s="263"/>
      <c r="S1746" s="263"/>
      <c r="T1746" s="263"/>
      <c r="U1746" s="263"/>
    </row>
    <row r="1748" spans="7:23" x14ac:dyDescent="0.25">
      <c r="W1748" s="263"/>
    </row>
    <row r="1749" spans="7:23" x14ac:dyDescent="0.25">
      <c r="G1749" s="263"/>
      <c r="H1749" s="263"/>
      <c r="I1749" s="263"/>
      <c r="J1749" s="263"/>
      <c r="K1749" s="263"/>
      <c r="L1749" s="263"/>
      <c r="M1749" s="263"/>
      <c r="N1749" s="263"/>
      <c r="O1749" s="263"/>
      <c r="P1749" s="263"/>
      <c r="Q1749" s="263"/>
      <c r="R1749" s="263"/>
      <c r="S1749" s="263"/>
      <c r="T1749" s="263"/>
      <c r="U1749" s="263"/>
      <c r="W1749" s="263"/>
    </row>
    <row r="1750" spans="7:23" x14ac:dyDescent="0.25">
      <c r="G1750" s="263"/>
      <c r="H1750" s="263"/>
      <c r="I1750" s="263"/>
      <c r="J1750" s="263"/>
      <c r="K1750" s="263"/>
      <c r="L1750" s="263"/>
      <c r="M1750" s="263"/>
      <c r="N1750" s="263"/>
      <c r="O1750" s="263"/>
      <c r="P1750" s="263"/>
      <c r="Q1750" s="263"/>
      <c r="R1750" s="263"/>
      <c r="S1750" s="263"/>
      <c r="T1750" s="263"/>
      <c r="U1750" s="263"/>
      <c r="W1750" s="263"/>
    </row>
    <row r="1751" spans="7:23" x14ac:dyDescent="0.25">
      <c r="G1751" s="263"/>
      <c r="H1751" s="263"/>
      <c r="I1751" s="263"/>
      <c r="J1751" s="263"/>
      <c r="K1751" s="263"/>
      <c r="L1751" s="263"/>
      <c r="M1751" s="263"/>
      <c r="N1751" s="263"/>
      <c r="O1751" s="263"/>
      <c r="P1751" s="263"/>
      <c r="Q1751" s="263"/>
      <c r="R1751" s="263"/>
      <c r="S1751" s="263"/>
      <c r="T1751" s="263"/>
      <c r="U1751" s="263"/>
      <c r="W1751" s="263"/>
    </row>
    <row r="1752" spans="7:23" x14ac:dyDescent="0.25">
      <c r="G1752" s="263"/>
      <c r="H1752" s="263"/>
      <c r="I1752" s="263"/>
      <c r="J1752" s="263"/>
      <c r="K1752" s="263"/>
      <c r="L1752" s="263"/>
      <c r="M1752" s="263"/>
      <c r="N1752" s="263"/>
      <c r="O1752" s="263"/>
      <c r="P1752" s="263"/>
      <c r="Q1752" s="263"/>
      <c r="R1752" s="263"/>
      <c r="S1752" s="263"/>
      <c r="T1752" s="263"/>
      <c r="U1752" s="263"/>
    </row>
    <row r="1754" spans="7:23" x14ac:dyDescent="0.25">
      <c r="W1754" s="263"/>
    </row>
    <row r="1755" spans="7:23" x14ac:dyDescent="0.25">
      <c r="G1755" s="263"/>
      <c r="H1755" s="263"/>
      <c r="I1755" s="263"/>
      <c r="J1755" s="263"/>
      <c r="K1755" s="263"/>
      <c r="L1755" s="263"/>
      <c r="M1755" s="263"/>
      <c r="N1755" s="263"/>
      <c r="O1755" s="263"/>
      <c r="P1755" s="263"/>
      <c r="Q1755" s="263"/>
      <c r="R1755" s="263"/>
      <c r="S1755" s="263"/>
      <c r="T1755" s="263"/>
      <c r="U1755" s="263"/>
      <c r="W1755" s="263"/>
    </row>
    <row r="1756" spans="7:23" x14ac:dyDescent="0.25">
      <c r="G1756" s="263"/>
      <c r="H1756" s="263"/>
      <c r="I1756" s="263"/>
      <c r="J1756" s="263"/>
      <c r="K1756" s="263"/>
      <c r="L1756" s="263"/>
      <c r="M1756" s="263"/>
      <c r="N1756" s="263"/>
      <c r="O1756" s="263"/>
      <c r="P1756" s="263"/>
      <c r="Q1756" s="263"/>
      <c r="R1756" s="263"/>
      <c r="S1756" s="263"/>
      <c r="T1756" s="263"/>
      <c r="U1756" s="263"/>
      <c r="W1756" s="263"/>
    </row>
    <row r="1757" spans="7:23" x14ac:dyDescent="0.25">
      <c r="G1757" s="263"/>
      <c r="H1757" s="263"/>
      <c r="I1757" s="263"/>
      <c r="J1757" s="263"/>
      <c r="K1757" s="263"/>
      <c r="L1757" s="263"/>
      <c r="M1757" s="263"/>
      <c r="N1757" s="263"/>
      <c r="O1757" s="263"/>
      <c r="P1757" s="263"/>
      <c r="Q1757" s="263"/>
      <c r="R1757" s="263"/>
      <c r="S1757" s="263"/>
      <c r="T1757" s="263"/>
      <c r="U1757" s="263"/>
      <c r="W1757" s="263"/>
    </row>
    <row r="1758" spans="7:23" x14ac:dyDescent="0.25">
      <c r="G1758" s="263"/>
      <c r="H1758" s="263"/>
      <c r="I1758" s="263"/>
      <c r="J1758" s="263"/>
      <c r="K1758" s="263"/>
      <c r="L1758" s="263"/>
      <c r="M1758" s="263"/>
      <c r="N1758" s="263"/>
      <c r="O1758" s="263"/>
      <c r="P1758" s="263"/>
      <c r="Q1758" s="263"/>
      <c r="R1758" s="263"/>
      <c r="S1758" s="263"/>
      <c r="T1758" s="263"/>
      <c r="U1758" s="263"/>
      <c r="W1758" s="263"/>
    </row>
    <row r="1759" spans="7:23" x14ac:dyDescent="0.25">
      <c r="G1759" s="263"/>
      <c r="H1759" s="263"/>
      <c r="I1759" s="263"/>
      <c r="J1759" s="263"/>
      <c r="K1759" s="263"/>
      <c r="L1759" s="263"/>
      <c r="M1759" s="263"/>
      <c r="N1759" s="263"/>
      <c r="O1759" s="263"/>
      <c r="P1759" s="263"/>
      <c r="Q1759" s="263"/>
      <c r="R1759" s="263"/>
      <c r="S1759" s="263"/>
      <c r="T1759" s="263"/>
      <c r="U1759" s="263"/>
      <c r="W1759" s="263"/>
    </row>
    <row r="1760" spans="7:23" x14ac:dyDescent="0.25">
      <c r="G1760" s="263"/>
      <c r="H1760" s="263"/>
      <c r="I1760" s="263"/>
      <c r="J1760" s="263"/>
      <c r="K1760" s="263"/>
      <c r="L1760" s="263"/>
      <c r="M1760" s="263"/>
      <c r="N1760" s="263"/>
      <c r="O1760" s="263"/>
      <c r="P1760" s="263"/>
      <c r="Q1760" s="263"/>
      <c r="R1760" s="263"/>
      <c r="S1760" s="263"/>
      <c r="T1760" s="263"/>
      <c r="U1760" s="263"/>
      <c r="W1760" s="263"/>
    </row>
    <row r="1761" spans="7:23" x14ac:dyDescent="0.25">
      <c r="G1761" s="263"/>
      <c r="H1761" s="263"/>
      <c r="I1761" s="263"/>
      <c r="J1761" s="263"/>
      <c r="K1761" s="263"/>
      <c r="L1761" s="263"/>
      <c r="M1761" s="263"/>
      <c r="N1761" s="263"/>
      <c r="O1761" s="263"/>
      <c r="P1761" s="263"/>
      <c r="Q1761" s="263"/>
      <c r="R1761" s="263"/>
      <c r="S1761" s="263"/>
      <c r="T1761" s="263"/>
      <c r="U1761" s="263"/>
    </row>
    <row r="1765" spans="7:23" x14ac:dyDescent="0.25">
      <c r="W1765" s="263"/>
    </row>
    <row r="1766" spans="7:23" x14ac:dyDescent="0.25">
      <c r="G1766" s="263"/>
      <c r="H1766" s="263"/>
      <c r="I1766" s="263"/>
      <c r="J1766" s="263"/>
      <c r="K1766" s="263"/>
      <c r="L1766" s="263"/>
      <c r="M1766" s="263"/>
      <c r="N1766" s="263"/>
      <c r="O1766" s="263"/>
      <c r="P1766" s="263"/>
      <c r="Q1766" s="263"/>
      <c r="R1766" s="263"/>
      <c r="S1766" s="263"/>
      <c r="T1766" s="263"/>
      <c r="U1766" s="263"/>
      <c r="W1766" s="263"/>
    </row>
    <row r="1767" spans="7:23" x14ac:dyDescent="0.25">
      <c r="G1767" s="263"/>
      <c r="H1767" s="263"/>
      <c r="I1767" s="263"/>
      <c r="J1767" s="263"/>
      <c r="K1767" s="263"/>
      <c r="L1767" s="263"/>
      <c r="M1767" s="263"/>
      <c r="N1767" s="263"/>
      <c r="O1767" s="263"/>
      <c r="P1767" s="263"/>
      <c r="Q1767" s="263"/>
      <c r="R1767" s="263"/>
      <c r="S1767" s="263"/>
      <c r="T1767" s="263"/>
      <c r="U1767" s="263"/>
      <c r="W1767" s="263"/>
    </row>
    <row r="1768" spans="7:23" x14ac:dyDescent="0.25">
      <c r="G1768" s="263"/>
      <c r="H1768" s="263"/>
      <c r="I1768" s="263"/>
      <c r="J1768" s="263"/>
      <c r="K1768" s="263"/>
      <c r="L1768" s="263"/>
      <c r="M1768" s="263"/>
      <c r="N1768" s="263"/>
      <c r="O1768" s="263"/>
      <c r="P1768" s="263"/>
      <c r="Q1768" s="263"/>
      <c r="R1768" s="263"/>
      <c r="S1768" s="263"/>
      <c r="T1768" s="263"/>
      <c r="U1768" s="263"/>
      <c r="W1768" s="263"/>
    </row>
    <row r="1769" spans="7:23" x14ac:dyDescent="0.25">
      <c r="G1769" s="263"/>
      <c r="H1769" s="263"/>
      <c r="I1769" s="263"/>
      <c r="J1769" s="263"/>
      <c r="K1769" s="263"/>
      <c r="L1769" s="263"/>
      <c r="M1769" s="263"/>
      <c r="N1769" s="263"/>
      <c r="O1769" s="263"/>
      <c r="P1769" s="263"/>
      <c r="Q1769" s="263"/>
      <c r="R1769" s="263"/>
      <c r="S1769" s="263"/>
      <c r="T1769" s="263"/>
      <c r="U1769" s="263"/>
    </row>
    <row r="1771" spans="7:23" x14ac:dyDescent="0.25">
      <c r="W1771" s="263"/>
    </row>
    <row r="1772" spans="7:23" x14ac:dyDescent="0.25">
      <c r="G1772" s="263"/>
      <c r="H1772" s="263"/>
      <c r="I1772" s="263"/>
      <c r="J1772" s="263"/>
      <c r="K1772" s="263"/>
      <c r="L1772" s="263"/>
      <c r="M1772" s="263"/>
      <c r="N1772" s="263"/>
      <c r="O1772" s="263"/>
      <c r="P1772" s="263"/>
      <c r="Q1772" s="263"/>
      <c r="R1772" s="263"/>
      <c r="S1772" s="263"/>
      <c r="T1772" s="263"/>
      <c r="U1772" s="263"/>
      <c r="W1772" s="263"/>
    </row>
    <row r="1773" spans="7:23" x14ac:dyDescent="0.25">
      <c r="G1773" s="263"/>
      <c r="H1773" s="263"/>
      <c r="I1773" s="263"/>
      <c r="J1773" s="263"/>
      <c r="K1773" s="263"/>
      <c r="L1773" s="263"/>
      <c r="M1773" s="263"/>
      <c r="N1773" s="263"/>
      <c r="O1773" s="263"/>
      <c r="P1773" s="263"/>
      <c r="Q1773" s="263"/>
      <c r="R1773" s="263"/>
      <c r="S1773" s="263"/>
      <c r="T1773" s="263"/>
      <c r="U1773" s="263"/>
      <c r="W1773" s="263"/>
    </row>
    <row r="1774" spans="7:23" x14ac:dyDescent="0.25">
      <c r="G1774" s="263"/>
      <c r="H1774" s="263"/>
      <c r="I1774" s="263"/>
      <c r="J1774" s="263"/>
      <c r="K1774" s="263"/>
      <c r="L1774" s="263"/>
      <c r="M1774" s="263"/>
      <c r="N1774" s="263"/>
      <c r="O1774" s="263"/>
      <c r="P1774" s="263"/>
      <c r="Q1774" s="263"/>
      <c r="R1774" s="263"/>
      <c r="S1774" s="263"/>
      <c r="T1774" s="263"/>
      <c r="U1774" s="263"/>
      <c r="W1774" s="263"/>
    </row>
    <row r="1775" spans="7:23" x14ac:dyDescent="0.25">
      <c r="G1775" s="263"/>
      <c r="H1775" s="263"/>
      <c r="I1775" s="263"/>
      <c r="J1775" s="263"/>
      <c r="K1775" s="263"/>
      <c r="L1775" s="263"/>
      <c r="M1775" s="263"/>
      <c r="N1775" s="263"/>
      <c r="O1775" s="263"/>
      <c r="P1775" s="263"/>
      <c r="Q1775" s="263"/>
      <c r="R1775" s="263"/>
      <c r="S1775" s="263"/>
      <c r="T1775" s="263"/>
      <c r="U1775" s="263"/>
    </row>
    <row r="1777" spans="7:23" x14ac:dyDescent="0.25">
      <c r="W1777" s="263"/>
    </row>
    <row r="1778" spans="7:23" x14ac:dyDescent="0.25">
      <c r="G1778" s="263"/>
      <c r="H1778" s="263"/>
      <c r="I1778" s="263"/>
      <c r="J1778" s="263"/>
      <c r="K1778" s="263"/>
      <c r="L1778" s="263"/>
      <c r="M1778" s="263"/>
      <c r="N1778" s="263"/>
      <c r="O1778" s="263"/>
      <c r="P1778" s="263"/>
      <c r="Q1778" s="263"/>
      <c r="R1778" s="263"/>
      <c r="S1778" s="263"/>
      <c r="T1778" s="263"/>
      <c r="U1778" s="263"/>
    </row>
    <row r="1780" spans="7:23" x14ac:dyDescent="0.25">
      <c r="W1780" s="263"/>
    </row>
    <row r="1781" spans="7:23" x14ac:dyDescent="0.25">
      <c r="G1781" s="263"/>
      <c r="H1781" s="263"/>
      <c r="I1781" s="263"/>
      <c r="J1781" s="263"/>
      <c r="K1781" s="263"/>
      <c r="L1781" s="263"/>
      <c r="M1781" s="263"/>
      <c r="N1781" s="263"/>
      <c r="O1781" s="263"/>
      <c r="P1781" s="263"/>
      <c r="Q1781" s="263"/>
      <c r="R1781" s="263"/>
      <c r="S1781" s="263"/>
      <c r="T1781" s="263"/>
      <c r="U1781" s="263"/>
    </row>
    <row r="1783" spans="7:23" x14ac:dyDescent="0.25">
      <c r="W1783" s="263"/>
    </row>
    <row r="1784" spans="7:23" x14ac:dyDescent="0.25">
      <c r="G1784" s="263"/>
      <c r="H1784" s="263"/>
      <c r="I1784" s="263"/>
      <c r="J1784" s="263"/>
      <c r="K1784" s="263"/>
      <c r="L1784" s="263"/>
      <c r="M1784" s="263"/>
      <c r="N1784" s="263"/>
      <c r="O1784" s="263"/>
      <c r="P1784" s="263"/>
      <c r="Q1784" s="263"/>
      <c r="R1784" s="263"/>
      <c r="S1784" s="263"/>
      <c r="T1784" s="263"/>
      <c r="U1784" s="263"/>
      <c r="W1784" s="263"/>
    </row>
    <row r="1785" spans="7:23" x14ac:dyDescent="0.25">
      <c r="G1785" s="263"/>
      <c r="H1785" s="263"/>
      <c r="I1785" s="263"/>
      <c r="J1785" s="263"/>
      <c r="K1785" s="263"/>
      <c r="L1785" s="263"/>
      <c r="M1785" s="263"/>
      <c r="N1785" s="263"/>
      <c r="O1785" s="263"/>
      <c r="P1785" s="263"/>
      <c r="Q1785" s="263"/>
      <c r="R1785" s="263"/>
      <c r="S1785" s="263"/>
      <c r="T1785" s="263"/>
      <c r="U1785" s="263"/>
    </row>
  </sheetData>
  <mergeCells count="15">
    <mergeCell ref="G413:S413"/>
    <mergeCell ref="G521:S521"/>
    <mergeCell ref="G529:S529"/>
    <mergeCell ref="G148:S148"/>
    <mergeCell ref="G171:S171"/>
    <mergeCell ref="G191:S191"/>
    <mergeCell ref="G241:S241"/>
    <mergeCell ref="G268:S268"/>
    <mergeCell ref="G323:S323"/>
    <mergeCell ref="G101:S101"/>
    <mergeCell ref="A1:V1"/>
    <mergeCell ref="A2:V2"/>
    <mergeCell ref="A3:V3"/>
    <mergeCell ref="A4:V4"/>
    <mergeCell ref="G6:S6"/>
  </mergeCells>
  <pageMargins left="0.7" right="0.7" top="0.75" bottom="0.75" header="0.3" footer="0.3"/>
  <pageSetup scale="60" orientation="landscape" r:id="rId1"/>
  <rowBreaks count="1" manualBreakCount="1">
    <brk id="621" max="18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2"/>
  <sheetViews>
    <sheetView topLeftCell="A4" zoomScaleNormal="100" workbookViewId="0">
      <selection activeCell="E30" sqref="E30"/>
    </sheetView>
  </sheetViews>
  <sheetFormatPr defaultColWidth="8.85546875" defaultRowHeight="15" x14ac:dyDescent="0.25"/>
  <cols>
    <col min="1" max="1" width="29.28515625" style="155" bestFit="1" customWidth="1"/>
    <col min="2" max="2" width="29.28515625" style="155" hidden="1" customWidth="1"/>
    <col min="3" max="3" width="1.7109375" style="155" customWidth="1"/>
    <col min="4" max="6" width="16" style="155" bestFit="1" customWidth="1"/>
    <col min="7" max="7" width="1.7109375" style="155" customWidth="1"/>
    <col min="8" max="8" width="16" style="155" bestFit="1" customWidth="1"/>
    <col min="9" max="9" width="1.7109375" style="159" customWidth="1"/>
    <col min="10" max="12" width="16" style="155" bestFit="1" customWidth="1"/>
    <col min="13" max="13" width="1.7109375" style="155" customWidth="1"/>
    <col min="14" max="14" width="17.7109375" style="155" customWidth="1"/>
    <col min="15" max="15" width="1.7109375" style="155" customWidth="1"/>
    <col min="16" max="16" width="17.7109375" style="155" customWidth="1"/>
    <col min="17" max="17" width="1.7109375" style="155" customWidth="1"/>
    <col min="18" max="18" width="17.7109375" style="155" customWidth="1"/>
    <col min="19" max="19" width="1.7109375" style="155" customWidth="1"/>
    <col min="20" max="20" width="17.7109375" style="155" customWidth="1"/>
    <col min="21" max="21" width="1.7109375" style="155" customWidth="1"/>
    <col min="22" max="22" width="17.7109375" style="155" customWidth="1"/>
    <col min="23" max="23" width="1.7109375" style="155" customWidth="1"/>
    <col min="24" max="24" width="17.7109375" style="155" customWidth="1"/>
    <col min="25" max="25" width="1.7109375" style="155" customWidth="1"/>
    <col min="26" max="26" width="17.7109375" style="155" customWidth="1"/>
    <col min="27" max="27" width="1.7109375" style="155" customWidth="1"/>
    <col min="28" max="28" width="17.7109375" style="155" customWidth="1"/>
    <col min="29" max="29" width="1.7109375" style="155" customWidth="1"/>
    <col min="30" max="30" width="17.7109375" style="155" customWidth="1"/>
    <col min="31" max="31" width="1.7109375" style="155" customWidth="1"/>
    <col min="32" max="32" width="17.7109375" style="155" customWidth="1"/>
    <col min="33" max="33" width="1.7109375" style="155" customWidth="1"/>
    <col min="34" max="34" width="17.7109375" style="155" customWidth="1"/>
    <col min="35" max="16384" width="8.85546875" style="155"/>
  </cols>
  <sheetData>
    <row r="1" spans="1:13" ht="15.75" x14ac:dyDescent="0.25">
      <c r="A1" s="381" t="s">
        <v>118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.75" x14ac:dyDescent="0.25">
      <c r="A2" s="381" t="s">
        <v>119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5.75" x14ac:dyDescent="0.25">
      <c r="A3" s="382" t="s">
        <v>94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3" ht="18.75" x14ac:dyDescent="0.3">
      <c r="A4" s="383" t="s">
        <v>120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8" spans="1:13" ht="15.75" thickBot="1" x14ac:dyDescent="0.3"/>
    <row r="9" spans="1:13" ht="14.45" customHeight="1" x14ac:dyDescent="0.25">
      <c r="D9" s="411" t="s">
        <v>110</v>
      </c>
      <c r="E9" s="412"/>
      <c r="F9" s="413"/>
      <c r="J9" s="411" t="s">
        <v>121</v>
      </c>
      <c r="K9" s="414"/>
      <c r="L9" s="415"/>
    </row>
    <row r="10" spans="1:13" x14ac:dyDescent="0.25">
      <c r="D10" s="168" t="s">
        <v>116</v>
      </c>
      <c r="E10" s="162" t="s">
        <v>117</v>
      </c>
      <c r="F10" s="252" t="s">
        <v>77</v>
      </c>
      <c r="H10" s="160" t="s">
        <v>111</v>
      </c>
      <c r="J10" s="168" t="s">
        <v>116</v>
      </c>
      <c r="K10" s="162" t="s">
        <v>117</v>
      </c>
      <c r="L10" s="252" t="s">
        <v>77</v>
      </c>
    </row>
    <row r="11" spans="1:13" ht="18" thickBot="1" x14ac:dyDescent="0.45">
      <c r="A11" s="155" t="s">
        <v>113</v>
      </c>
      <c r="D11" s="408" t="s">
        <v>53</v>
      </c>
      <c r="E11" s="409"/>
      <c r="F11" s="410"/>
      <c r="H11" s="161" t="s">
        <v>112</v>
      </c>
      <c r="J11" s="408" t="s">
        <v>53</v>
      </c>
      <c r="K11" s="409"/>
      <c r="L11" s="410"/>
    </row>
    <row r="12" spans="1:13" x14ac:dyDescent="0.25">
      <c r="A12" s="166" t="s">
        <v>109</v>
      </c>
      <c r="B12" s="166"/>
      <c r="D12" s="155">
        <f>F12-E12</f>
        <v>4493180</v>
      </c>
      <c r="E12" s="155">
        <v>6310568</v>
      </c>
      <c r="F12" s="155">
        <v>10803748</v>
      </c>
      <c r="H12" s="155">
        <v>556676</v>
      </c>
      <c r="J12" s="155">
        <f>D12+H12</f>
        <v>5049856</v>
      </c>
      <c r="K12" s="155">
        <f>E12</f>
        <v>6310568</v>
      </c>
      <c r="L12" s="155">
        <f>SUM(J12:K12)</f>
        <v>11360424</v>
      </c>
    </row>
    <row r="13" spans="1:13" x14ac:dyDescent="0.25">
      <c r="A13" s="165" t="s">
        <v>115</v>
      </c>
      <c r="B13" s="165"/>
      <c r="D13" s="155">
        <v>0</v>
      </c>
      <c r="E13" s="155">
        <v>6008445</v>
      </c>
      <c r="F13" s="155">
        <v>6008445</v>
      </c>
      <c r="H13" s="155">
        <v>2662074</v>
      </c>
      <c r="J13" s="155">
        <v>0</v>
      </c>
      <c r="K13" s="155">
        <f>H13+F13</f>
        <v>8670519</v>
      </c>
      <c r="L13" s="155">
        <f t="shared" ref="L13:L18" si="0">SUM(J13:K13)</f>
        <v>8670519</v>
      </c>
    </row>
    <row r="14" spans="1:13" x14ac:dyDescent="0.25">
      <c r="A14" s="165" t="s">
        <v>107</v>
      </c>
      <c r="B14" s="165"/>
      <c r="D14" s="155">
        <v>0</v>
      </c>
      <c r="E14" s="155">
        <v>4497275</v>
      </c>
      <c r="F14" s="155">
        <v>4497275</v>
      </c>
      <c r="H14" s="155">
        <v>-1737987</v>
      </c>
      <c r="J14" s="155">
        <v>0</v>
      </c>
      <c r="K14" s="155">
        <f>H14+F14</f>
        <v>2759288</v>
      </c>
      <c r="L14" s="155">
        <f t="shared" si="0"/>
        <v>2759288</v>
      </c>
    </row>
    <row r="15" spans="1:13" x14ac:dyDescent="0.25">
      <c r="A15" s="165" t="s">
        <v>106</v>
      </c>
      <c r="B15" s="165"/>
      <c r="D15" s="155">
        <f>F15-E15</f>
        <v>3195625</v>
      </c>
      <c r="E15" s="155">
        <v>236332</v>
      </c>
      <c r="F15" s="155">
        <v>3431957</v>
      </c>
      <c r="H15" s="155">
        <f>' GF-SUMMARY FY19'!F39</f>
        <v>86743.863437271677</v>
      </c>
      <c r="J15" s="155">
        <f>D15+H15</f>
        <v>3282368.8634372717</v>
      </c>
      <c r="K15" s="155">
        <f>E15</f>
        <v>236332</v>
      </c>
      <c r="L15" s="155">
        <f t="shared" si="0"/>
        <v>3518700.8634372717</v>
      </c>
    </row>
    <row r="16" spans="1:13" x14ac:dyDescent="0.25">
      <c r="A16" s="165" t="s">
        <v>108</v>
      </c>
      <c r="B16" s="165"/>
      <c r="D16" s="159">
        <v>0</v>
      </c>
      <c r="E16" s="159">
        <v>1439603</v>
      </c>
      <c r="F16" s="159">
        <v>1439603</v>
      </c>
      <c r="H16" s="159">
        <v>202731</v>
      </c>
      <c r="J16" s="155">
        <f t="shared" ref="J16:J18" si="1">D16</f>
        <v>0</v>
      </c>
      <c r="K16" s="159">
        <f>F16+H16</f>
        <v>1642334</v>
      </c>
      <c r="L16" s="155">
        <f t="shared" si="0"/>
        <v>1642334</v>
      </c>
    </row>
    <row r="17" spans="1:12" x14ac:dyDescent="0.25">
      <c r="A17" s="165" t="s">
        <v>19</v>
      </c>
      <c r="B17" s="165"/>
      <c r="D17" s="155">
        <v>0</v>
      </c>
      <c r="E17" s="155">
        <v>720099</v>
      </c>
      <c r="F17" s="155">
        <v>720099</v>
      </c>
      <c r="H17" s="155">
        <v>456747</v>
      </c>
      <c r="J17" s="155">
        <f t="shared" si="1"/>
        <v>0</v>
      </c>
      <c r="K17" s="159">
        <f t="shared" ref="K17:K18" si="2">F17+H17</f>
        <v>1176846</v>
      </c>
      <c r="L17" s="155">
        <f t="shared" si="0"/>
        <v>1176846</v>
      </c>
    </row>
    <row r="18" spans="1:12" x14ac:dyDescent="0.25">
      <c r="A18" s="165" t="s">
        <v>114</v>
      </c>
      <c r="B18" s="165"/>
      <c r="D18" s="167">
        <v>0</v>
      </c>
      <c r="E18" s="159">
        <v>125281</v>
      </c>
      <c r="F18" s="159">
        <v>125281</v>
      </c>
      <c r="H18" s="167">
        <v>-141797.20999999996</v>
      </c>
      <c r="J18" s="155">
        <f t="shared" si="1"/>
        <v>0</v>
      </c>
      <c r="K18" s="167">
        <f t="shared" si="2"/>
        <v>-16516.209999999963</v>
      </c>
      <c r="L18" s="155">
        <f t="shared" si="0"/>
        <v>-16516.209999999963</v>
      </c>
    </row>
    <row r="19" spans="1:12" ht="15.75" thickBot="1" x14ac:dyDescent="0.3">
      <c r="A19" s="163"/>
      <c r="B19" s="163"/>
      <c r="D19" s="158">
        <f>SUM(D12:D18)</f>
        <v>7688805</v>
      </c>
      <c r="E19" s="158">
        <f>SUM(E12:E18)</f>
        <v>19337603</v>
      </c>
      <c r="F19" s="158">
        <f>SUM(F12:F18)</f>
        <v>27026408</v>
      </c>
      <c r="H19" s="158">
        <f>SUM(H12:H18)</f>
        <v>2085187.6534372717</v>
      </c>
      <c r="J19" s="158">
        <f>SUM(J12:J18)</f>
        <v>8332224.8634372717</v>
      </c>
      <c r="K19" s="158">
        <f t="shared" ref="K19:L19" si="3">SUM(K12:K18)</f>
        <v>20779370.789999999</v>
      </c>
      <c r="L19" s="158">
        <f t="shared" si="3"/>
        <v>29111595.653437272</v>
      </c>
    </row>
    <row r="20" spans="1:12" ht="15.75" thickTop="1" x14ac:dyDescent="0.25">
      <c r="A20" s="163"/>
      <c r="B20" s="163"/>
    </row>
    <row r="21" spans="1:12" x14ac:dyDescent="0.25">
      <c r="A21" s="164"/>
      <c r="B21" s="164"/>
      <c r="C21" s="159"/>
      <c r="D21" s="159"/>
      <c r="E21" s="159"/>
      <c r="F21" s="159"/>
      <c r="G21" s="159"/>
      <c r="H21" s="159"/>
      <c r="J21" s="159"/>
      <c r="K21" s="159"/>
    </row>
    <row r="22" spans="1:12" x14ac:dyDescent="0.25">
      <c r="A22" s="159"/>
      <c r="B22" s="164"/>
      <c r="C22" s="159"/>
      <c r="D22" s="159"/>
      <c r="E22" s="159"/>
      <c r="F22" s="159"/>
      <c r="G22" s="159"/>
      <c r="H22" s="159"/>
      <c r="J22" s="159"/>
      <c r="K22" s="159"/>
    </row>
    <row r="23" spans="1:12" x14ac:dyDescent="0.25">
      <c r="A23" s="166"/>
      <c r="B23" s="164"/>
      <c r="C23" s="159"/>
      <c r="D23" s="159"/>
      <c r="E23" s="159"/>
      <c r="F23" s="159"/>
      <c r="G23" s="159"/>
      <c r="H23" s="159"/>
      <c r="J23" s="159"/>
      <c r="K23" s="159"/>
    </row>
    <row r="24" spans="1:12" x14ac:dyDescent="0.25">
      <c r="A24" s="166"/>
      <c r="B24" s="157"/>
      <c r="C24" s="162"/>
      <c r="D24" s="162"/>
      <c r="E24" s="162"/>
      <c r="F24" s="162"/>
      <c r="G24" s="162"/>
      <c r="H24" s="157"/>
      <c r="I24" s="157"/>
      <c r="J24" s="157"/>
      <c r="K24" s="157"/>
      <c r="L24" s="156"/>
    </row>
    <row r="25" spans="1:12" x14ac:dyDescent="0.25">
      <c r="A25" s="166"/>
      <c r="B25" s="164"/>
      <c r="C25" s="159"/>
      <c r="D25" s="159"/>
      <c r="E25" s="159"/>
      <c r="F25" s="159"/>
      <c r="G25" s="159"/>
      <c r="H25" s="159"/>
      <c r="J25" s="159"/>
      <c r="K25" s="159"/>
    </row>
    <row r="26" spans="1:12" x14ac:dyDescent="0.25">
      <c r="A26" s="166"/>
      <c r="B26" s="164"/>
      <c r="C26" s="159"/>
      <c r="D26" s="159"/>
      <c r="E26" s="159"/>
      <c r="F26" s="159"/>
      <c r="G26" s="159"/>
      <c r="H26" s="159"/>
      <c r="J26" s="159"/>
      <c r="K26" s="159"/>
    </row>
    <row r="27" spans="1:12" x14ac:dyDescent="0.25">
      <c r="A27" s="166"/>
      <c r="B27" s="164"/>
      <c r="C27" s="159"/>
      <c r="D27" s="159"/>
      <c r="E27" s="159"/>
      <c r="F27" s="159"/>
      <c r="G27" s="159"/>
      <c r="H27" s="159"/>
      <c r="J27" s="159"/>
      <c r="K27" s="159"/>
    </row>
    <row r="28" spans="1:12" x14ac:dyDescent="0.25">
      <c r="A28" s="166"/>
      <c r="B28" s="164"/>
      <c r="C28" s="159"/>
      <c r="D28" s="159"/>
      <c r="E28" s="159"/>
      <c r="F28" s="159"/>
      <c r="G28" s="159"/>
      <c r="H28" s="159"/>
      <c r="J28" s="159"/>
      <c r="K28" s="159"/>
    </row>
    <row r="29" spans="1:12" x14ac:dyDescent="0.25">
      <c r="A29" s="166"/>
      <c r="B29" s="164"/>
      <c r="C29" s="159"/>
      <c r="D29" s="159"/>
      <c r="E29" s="159"/>
      <c r="F29" s="159"/>
      <c r="G29" s="159"/>
      <c r="H29" s="159"/>
      <c r="J29" s="159"/>
      <c r="K29" s="159"/>
    </row>
    <row r="30" spans="1:12" x14ac:dyDescent="0.25">
      <c r="A30" s="166"/>
      <c r="B30" s="164"/>
      <c r="C30" s="159"/>
      <c r="D30" s="159"/>
      <c r="E30" s="159"/>
      <c r="F30" s="159"/>
      <c r="G30" s="159"/>
      <c r="H30" s="159"/>
      <c r="J30" s="159"/>
      <c r="K30" s="159"/>
    </row>
    <row r="31" spans="1:12" x14ac:dyDescent="0.25">
      <c r="A31" s="166"/>
      <c r="B31" s="164"/>
      <c r="C31" s="159"/>
      <c r="D31" s="159"/>
      <c r="E31" s="159"/>
      <c r="F31" s="159"/>
      <c r="G31" s="159"/>
      <c r="H31" s="159"/>
      <c r="J31" s="159"/>
      <c r="K31" s="159"/>
    </row>
    <row r="32" spans="1:12" x14ac:dyDescent="0.25">
      <c r="A32" s="166"/>
      <c r="B32" s="164"/>
      <c r="C32" s="159"/>
      <c r="D32" s="159"/>
      <c r="E32" s="159"/>
      <c r="F32" s="159"/>
      <c r="G32" s="159"/>
      <c r="H32" s="159"/>
      <c r="J32" s="159"/>
      <c r="K32" s="159"/>
    </row>
    <row r="33" spans="1:12" x14ac:dyDescent="0.25">
      <c r="A33" s="166"/>
      <c r="B33" s="164"/>
      <c r="C33" s="159"/>
      <c r="D33" s="159"/>
      <c r="E33" s="159"/>
      <c r="F33" s="159"/>
      <c r="G33" s="159"/>
      <c r="H33" s="159"/>
      <c r="J33" s="159"/>
      <c r="K33" s="159"/>
    </row>
    <row r="34" spans="1:12" x14ac:dyDescent="0.25">
      <c r="A34" s="166"/>
      <c r="B34" s="164"/>
      <c r="C34" s="159"/>
      <c r="D34" s="159"/>
      <c r="E34" s="159"/>
      <c r="F34" s="159"/>
      <c r="G34" s="159"/>
      <c r="H34" s="159"/>
      <c r="J34" s="159"/>
      <c r="K34" s="159"/>
    </row>
    <row r="35" spans="1:12" x14ac:dyDescent="0.25">
      <c r="A35" s="166"/>
      <c r="B35" s="164"/>
      <c r="C35" s="159"/>
      <c r="D35" s="159"/>
      <c r="E35" s="159"/>
      <c r="F35" s="159"/>
      <c r="G35" s="159"/>
      <c r="H35" s="159"/>
      <c r="J35" s="159"/>
      <c r="K35" s="159"/>
    </row>
    <row r="36" spans="1:12" x14ac:dyDescent="0.25">
      <c r="A36" s="166"/>
      <c r="B36" s="164"/>
      <c r="C36" s="159"/>
      <c r="D36" s="159"/>
      <c r="E36" s="159"/>
      <c r="F36" s="159"/>
      <c r="G36" s="159"/>
      <c r="H36" s="159"/>
      <c r="J36" s="159"/>
      <c r="K36" s="159"/>
    </row>
    <row r="37" spans="1:12" x14ac:dyDescent="0.25">
      <c r="A37" s="166"/>
      <c r="B37" s="164"/>
      <c r="C37" s="159"/>
      <c r="D37" s="159"/>
      <c r="E37" s="159"/>
      <c r="F37" s="159"/>
      <c r="G37" s="159"/>
      <c r="H37" s="159"/>
      <c r="J37" s="159"/>
      <c r="K37" s="159"/>
    </row>
    <row r="38" spans="1:12" x14ac:dyDescent="0.25">
      <c r="A38" s="164"/>
      <c r="B38" s="164"/>
      <c r="C38" s="159"/>
      <c r="D38" s="159"/>
      <c r="E38" s="159"/>
      <c r="F38" s="159"/>
      <c r="G38" s="159"/>
      <c r="H38" s="159"/>
      <c r="J38" s="159"/>
      <c r="K38" s="159"/>
      <c r="L38" s="159"/>
    </row>
    <row r="39" spans="1:12" x14ac:dyDescent="0.25">
      <c r="A39" s="164"/>
      <c r="B39" s="164"/>
      <c r="C39" s="159"/>
      <c r="D39" s="159"/>
      <c r="E39" s="159"/>
      <c r="F39" s="159"/>
      <c r="G39" s="159"/>
      <c r="H39" s="159"/>
      <c r="J39" s="159"/>
      <c r="K39" s="159"/>
    </row>
    <row r="40" spans="1:12" x14ac:dyDescent="0.25">
      <c r="A40" s="164"/>
      <c r="B40" s="164"/>
      <c r="C40" s="159"/>
      <c r="D40" s="159"/>
      <c r="E40" s="159"/>
      <c r="F40" s="159"/>
      <c r="G40" s="159"/>
      <c r="H40" s="159"/>
      <c r="J40" s="159"/>
      <c r="K40" s="159"/>
    </row>
    <row r="41" spans="1:12" x14ac:dyDescent="0.25">
      <c r="A41" s="164"/>
      <c r="B41" s="164"/>
      <c r="C41" s="159"/>
      <c r="D41" s="159"/>
      <c r="E41" s="159"/>
      <c r="F41" s="159"/>
      <c r="G41" s="159"/>
      <c r="H41" s="159"/>
      <c r="J41" s="159"/>
      <c r="K41" s="159"/>
    </row>
    <row r="42" spans="1:12" x14ac:dyDescent="0.25">
      <c r="A42" s="164"/>
      <c r="B42" s="164"/>
      <c r="C42" s="159"/>
      <c r="D42" s="159"/>
      <c r="E42" s="159"/>
      <c r="F42" s="159"/>
      <c r="G42" s="159"/>
      <c r="H42" s="159"/>
      <c r="J42" s="159"/>
      <c r="K42" s="159"/>
    </row>
    <row r="43" spans="1:12" x14ac:dyDescent="0.25">
      <c r="A43" s="164"/>
      <c r="B43" s="164"/>
      <c r="C43" s="159"/>
      <c r="D43" s="159"/>
      <c r="E43" s="159"/>
      <c r="F43" s="159"/>
      <c r="G43" s="159"/>
      <c r="H43" s="159"/>
      <c r="J43" s="159"/>
      <c r="K43" s="159"/>
    </row>
    <row r="44" spans="1:12" x14ac:dyDescent="0.25">
      <c r="A44" s="164"/>
      <c r="B44" s="164"/>
      <c r="C44" s="159"/>
      <c r="D44" s="159"/>
      <c r="E44" s="159"/>
      <c r="F44" s="159"/>
      <c r="G44" s="159"/>
      <c r="H44" s="159"/>
      <c r="J44" s="159"/>
      <c r="K44" s="159"/>
    </row>
    <row r="45" spans="1:12" x14ac:dyDescent="0.25">
      <c r="A45" s="164"/>
      <c r="B45" s="164"/>
      <c r="C45" s="159"/>
      <c r="D45" s="159"/>
      <c r="E45" s="159"/>
      <c r="F45" s="159"/>
      <c r="G45" s="159"/>
      <c r="H45" s="159"/>
      <c r="J45" s="159"/>
      <c r="K45" s="159"/>
    </row>
    <row r="46" spans="1:12" x14ac:dyDescent="0.25">
      <c r="A46" s="164"/>
      <c r="B46" s="164"/>
      <c r="C46" s="159"/>
      <c r="D46" s="159"/>
      <c r="E46" s="159"/>
      <c r="F46" s="159"/>
      <c r="G46" s="159"/>
      <c r="H46" s="159"/>
      <c r="J46" s="159"/>
      <c r="K46" s="159"/>
    </row>
    <row r="47" spans="1:12" x14ac:dyDescent="0.25">
      <c r="A47" s="163"/>
      <c r="B47" s="163"/>
    </row>
    <row r="48" spans="1:12" x14ac:dyDescent="0.25">
      <c r="A48" s="163"/>
      <c r="B48" s="163"/>
    </row>
    <row r="49" spans="1:2" x14ac:dyDescent="0.25">
      <c r="A49" s="163"/>
      <c r="B49" s="163"/>
    </row>
    <row r="50" spans="1:2" x14ac:dyDescent="0.25">
      <c r="A50" s="163"/>
      <c r="B50" s="163"/>
    </row>
    <row r="51" spans="1:2" x14ac:dyDescent="0.25">
      <c r="A51" s="163"/>
      <c r="B51" s="163"/>
    </row>
    <row r="52" spans="1:2" x14ac:dyDescent="0.25">
      <c r="A52" s="163"/>
      <c r="B52" s="163"/>
    </row>
    <row r="53" spans="1:2" x14ac:dyDescent="0.25">
      <c r="A53" s="163"/>
      <c r="B53" s="163"/>
    </row>
    <row r="54" spans="1:2" x14ac:dyDescent="0.25">
      <c r="A54" s="163"/>
      <c r="B54" s="163"/>
    </row>
    <row r="55" spans="1:2" x14ac:dyDescent="0.25">
      <c r="A55" s="163"/>
      <c r="B55" s="163"/>
    </row>
    <row r="56" spans="1:2" x14ac:dyDescent="0.25">
      <c r="A56" s="163"/>
      <c r="B56" s="163"/>
    </row>
    <row r="57" spans="1:2" x14ac:dyDescent="0.25">
      <c r="A57" s="163"/>
      <c r="B57" s="163"/>
    </row>
    <row r="58" spans="1:2" x14ac:dyDescent="0.25">
      <c r="A58" s="163"/>
      <c r="B58" s="163"/>
    </row>
    <row r="59" spans="1:2" x14ac:dyDescent="0.25">
      <c r="A59" s="163"/>
      <c r="B59" s="163"/>
    </row>
    <row r="60" spans="1:2" x14ac:dyDescent="0.25">
      <c r="A60" s="163"/>
      <c r="B60" s="163"/>
    </row>
    <row r="61" spans="1:2" x14ac:dyDescent="0.25">
      <c r="A61" s="163"/>
      <c r="B61" s="163"/>
    </row>
    <row r="62" spans="1:2" x14ac:dyDescent="0.25">
      <c r="A62" s="163"/>
      <c r="B62" s="163"/>
    </row>
    <row r="63" spans="1:2" x14ac:dyDescent="0.25">
      <c r="A63" s="163"/>
      <c r="B63" s="163"/>
    </row>
    <row r="64" spans="1:2" x14ac:dyDescent="0.25">
      <c r="A64" s="163"/>
      <c r="B64" s="163"/>
    </row>
    <row r="65" spans="1:2" x14ac:dyDescent="0.25">
      <c r="A65" s="163"/>
      <c r="B65" s="163"/>
    </row>
    <row r="66" spans="1:2" x14ac:dyDescent="0.25">
      <c r="A66" s="163"/>
      <c r="B66" s="163"/>
    </row>
    <row r="67" spans="1:2" x14ac:dyDescent="0.25">
      <c r="A67" s="163"/>
      <c r="B67" s="163"/>
    </row>
    <row r="68" spans="1:2" x14ac:dyDescent="0.25">
      <c r="A68" s="163"/>
      <c r="B68" s="163"/>
    </row>
    <row r="69" spans="1:2" x14ac:dyDescent="0.25">
      <c r="A69" s="163"/>
      <c r="B69" s="163"/>
    </row>
    <row r="70" spans="1:2" x14ac:dyDescent="0.25">
      <c r="A70" s="163"/>
      <c r="B70" s="163"/>
    </row>
    <row r="71" spans="1:2" x14ac:dyDescent="0.25">
      <c r="A71" s="163"/>
      <c r="B71" s="163"/>
    </row>
    <row r="72" spans="1:2" x14ac:dyDescent="0.25">
      <c r="A72" s="163"/>
      <c r="B72" s="163"/>
    </row>
    <row r="73" spans="1:2" x14ac:dyDescent="0.25">
      <c r="A73" s="163"/>
      <c r="B73" s="163"/>
    </row>
    <row r="74" spans="1:2" x14ac:dyDescent="0.25">
      <c r="A74" s="163"/>
      <c r="B74" s="163"/>
    </row>
    <row r="75" spans="1:2" x14ac:dyDescent="0.25">
      <c r="A75" s="163"/>
      <c r="B75" s="163"/>
    </row>
    <row r="76" spans="1:2" x14ac:dyDescent="0.25">
      <c r="A76" s="163"/>
      <c r="B76" s="163"/>
    </row>
    <row r="77" spans="1:2" x14ac:dyDescent="0.25">
      <c r="A77" s="163"/>
      <c r="B77" s="163"/>
    </row>
    <row r="78" spans="1:2" x14ac:dyDescent="0.25">
      <c r="A78" s="163"/>
      <c r="B78" s="163"/>
    </row>
    <row r="79" spans="1:2" x14ac:dyDescent="0.25">
      <c r="A79" s="163"/>
      <c r="B79" s="163"/>
    </row>
    <row r="80" spans="1:2" x14ac:dyDescent="0.25">
      <c r="A80" s="163"/>
      <c r="B80" s="163"/>
    </row>
    <row r="81" spans="1:2" x14ac:dyDescent="0.25">
      <c r="A81" s="163"/>
      <c r="B81" s="163"/>
    </row>
    <row r="82" spans="1:2" x14ac:dyDescent="0.25">
      <c r="A82" s="163"/>
      <c r="B82" s="163"/>
    </row>
    <row r="83" spans="1:2" x14ac:dyDescent="0.25">
      <c r="A83" s="163"/>
      <c r="B83" s="163"/>
    </row>
    <row r="84" spans="1:2" x14ac:dyDescent="0.25">
      <c r="A84" s="163"/>
      <c r="B84" s="163"/>
    </row>
    <row r="85" spans="1:2" x14ac:dyDescent="0.25">
      <c r="A85" s="163"/>
      <c r="B85" s="163"/>
    </row>
    <row r="86" spans="1:2" x14ac:dyDescent="0.25">
      <c r="A86" s="163"/>
      <c r="B86" s="163"/>
    </row>
    <row r="87" spans="1:2" x14ac:dyDescent="0.25">
      <c r="A87" s="163"/>
      <c r="B87" s="163"/>
    </row>
    <row r="88" spans="1:2" x14ac:dyDescent="0.25">
      <c r="A88" s="163"/>
      <c r="B88" s="163"/>
    </row>
    <row r="89" spans="1:2" x14ac:dyDescent="0.25">
      <c r="A89" s="163"/>
      <c r="B89" s="163"/>
    </row>
    <row r="90" spans="1:2" x14ac:dyDescent="0.25">
      <c r="A90" s="163"/>
      <c r="B90" s="163"/>
    </row>
    <row r="91" spans="1:2" x14ac:dyDescent="0.25">
      <c r="A91" s="163"/>
      <c r="B91" s="163"/>
    </row>
    <row r="92" spans="1:2" x14ac:dyDescent="0.25">
      <c r="A92" s="163"/>
      <c r="B92" s="163"/>
    </row>
    <row r="93" spans="1:2" x14ac:dyDescent="0.25">
      <c r="A93" s="163"/>
      <c r="B93" s="163"/>
    </row>
    <row r="94" spans="1:2" x14ac:dyDescent="0.25">
      <c r="A94" s="163"/>
      <c r="B94" s="163"/>
    </row>
    <row r="95" spans="1:2" x14ac:dyDescent="0.25">
      <c r="A95" s="163"/>
      <c r="B95" s="163"/>
    </row>
    <row r="96" spans="1:2" x14ac:dyDescent="0.25">
      <c r="A96" s="163"/>
      <c r="B96" s="163"/>
    </row>
    <row r="97" spans="1:2" x14ac:dyDescent="0.25">
      <c r="A97" s="163"/>
      <c r="B97" s="163"/>
    </row>
    <row r="98" spans="1:2" x14ac:dyDescent="0.25">
      <c r="A98" s="163"/>
      <c r="B98" s="163"/>
    </row>
    <row r="99" spans="1:2" x14ac:dyDescent="0.25">
      <c r="A99" s="163"/>
      <c r="B99" s="163"/>
    </row>
    <row r="100" spans="1:2" x14ac:dyDescent="0.25">
      <c r="A100" s="163"/>
      <c r="B100" s="163"/>
    </row>
    <row r="101" spans="1:2" x14ac:dyDescent="0.25">
      <c r="A101" s="163"/>
      <c r="B101" s="163"/>
    </row>
    <row r="102" spans="1:2" x14ac:dyDescent="0.25">
      <c r="A102" s="163"/>
      <c r="B102" s="163"/>
    </row>
    <row r="103" spans="1:2" x14ac:dyDescent="0.25">
      <c r="A103" s="163"/>
      <c r="B103" s="163"/>
    </row>
    <row r="104" spans="1:2" x14ac:dyDescent="0.25">
      <c r="A104" s="163"/>
      <c r="B104" s="163"/>
    </row>
    <row r="105" spans="1:2" x14ac:dyDescent="0.25">
      <c r="A105" s="163"/>
      <c r="B105" s="163"/>
    </row>
    <row r="106" spans="1:2" x14ac:dyDescent="0.25">
      <c r="A106" s="163"/>
      <c r="B106" s="163"/>
    </row>
    <row r="107" spans="1:2" x14ac:dyDescent="0.25">
      <c r="A107" s="163"/>
      <c r="B107" s="163"/>
    </row>
    <row r="108" spans="1:2" x14ac:dyDescent="0.25">
      <c r="A108" s="163"/>
      <c r="B108" s="163"/>
    </row>
    <row r="109" spans="1:2" x14ac:dyDescent="0.25">
      <c r="A109" s="163"/>
      <c r="B109" s="163"/>
    </row>
    <row r="110" spans="1:2" x14ac:dyDescent="0.25">
      <c r="A110" s="163"/>
      <c r="B110" s="163"/>
    </row>
    <row r="111" spans="1:2" x14ac:dyDescent="0.25">
      <c r="A111" s="163"/>
      <c r="B111" s="163"/>
    </row>
    <row r="112" spans="1:2" x14ac:dyDescent="0.25">
      <c r="A112" s="163"/>
      <c r="B112" s="163"/>
    </row>
  </sheetData>
  <sortState ref="A7:H18">
    <sortCondition descending="1" ref="D7:D18"/>
  </sortState>
  <mergeCells count="8">
    <mergeCell ref="D11:F11"/>
    <mergeCell ref="J11:L11"/>
    <mergeCell ref="A1:M1"/>
    <mergeCell ref="A2:M2"/>
    <mergeCell ref="A3:M3"/>
    <mergeCell ref="A4:M4"/>
    <mergeCell ref="D9:F9"/>
    <mergeCell ref="J9:L9"/>
  </mergeCells>
  <pageMargins left="0.7" right="0.7" top="0.75" bottom="0.75" header="0.3" footer="0.3"/>
  <pageSetup scale="82" orientation="landscape" r:id="rId1"/>
  <ignoredErrors>
    <ignoredError sqref="L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"/>
  <sheetViews>
    <sheetView workbookViewId="0">
      <selection activeCell="N4" sqref="N4"/>
    </sheetView>
  </sheetViews>
  <sheetFormatPr defaultRowHeight="15" x14ac:dyDescent="0.25"/>
  <cols>
    <col min="1" max="1" width="13.140625" style="133" bestFit="1" customWidth="1"/>
    <col min="2" max="10" width="11.5703125" bestFit="1" customWidth="1"/>
    <col min="12" max="14" width="13.28515625" bestFit="1" customWidth="1"/>
  </cols>
  <sheetData>
    <row r="1" spans="1:14" ht="15.75" thickBot="1" x14ac:dyDescent="0.3">
      <c r="L1" t="s">
        <v>104</v>
      </c>
    </row>
    <row r="2" spans="1:14" ht="15.75" thickBot="1" x14ac:dyDescent="0.3">
      <c r="B2" s="134">
        <v>42735</v>
      </c>
      <c r="C2" s="135">
        <f>B2+15</f>
        <v>42750</v>
      </c>
      <c r="D2" s="135">
        <f>C2+16</f>
        <v>42766</v>
      </c>
      <c r="E2" s="135">
        <f t="shared" ref="E2:I2" si="0">D2+15</f>
        <v>42781</v>
      </c>
      <c r="F2" s="135">
        <f>E2+13</f>
        <v>42794</v>
      </c>
      <c r="G2" s="135">
        <f t="shared" si="0"/>
        <v>42809</v>
      </c>
      <c r="H2" s="135">
        <f>G2+16</f>
        <v>42825</v>
      </c>
      <c r="I2" s="135">
        <f t="shared" si="0"/>
        <v>42840</v>
      </c>
      <c r="J2" s="136">
        <f>I2+15</f>
        <v>42855</v>
      </c>
    </row>
    <row r="3" spans="1:14" x14ac:dyDescent="0.25">
      <c r="A3" s="137" t="s">
        <v>95</v>
      </c>
      <c r="B3" s="138">
        <f>'[1]Payroll-12-31-16'!$D$135</f>
        <v>4216.67</v>
      </c>
      <c r="C3" s="139">
        <v>2416.67</v>
      </c>
      <c r="D3" s="139">
        <v>4216.67</v>
      </c>
      <c r="E3" s="139">
        <v>2416.67</v>
      </c>
      <c r="F3" s="139">
        <v>4216.67</v>
      </c>
      <c r="G3" s="139">
        <v>2416.67</v>
      </c>
      <c r="H3" s="139">
        <v>4216.67</v>
      </c>
      <c r="I3" s="139">
        <v>2416.67</v>
      </c>
      <c r="J3" s="140">
        <v>4216.67</v>
      </c>
      <c r="L3" s="152">
        <f>SUM(C3:J3)</f>
        <v>26533.360000000001</v>
      </c>
      <c r="M3" s="153">
        <v>26533</v>
      </c>
      <c r="N3" s="152">
        <f t="shared" ref="N3:N8" si="1">+L3-M3</f>
        <v>0.36000000000058208</v>
      </c>
    </row>
    <row r="4" spans="1:14" x14ac:dyDescent="0.25">
      <c r="A4" s="141" t="s">
        <v>96</v>
      </c>
      <c r="B4" s="142">
        <f>'[1]Payroll-12-31-16'!D136</f>
        <v>3388.33</v>
      </c>
      <c r="C4" s="80">
        <v>3388.33</v>
      </c>
      <c r="D4" s="80">
        <v>3388.33</v>
      </c>
      <c r="E4" s="80">
        <v>3388.33</v>
      </c>
      <c r="F4" s="80">
        <v>3388.33</v>
      </c>
      <c r="G4" s="80">
        <v>3388.33</v>
      </c>
      <c r="H4" s="80">
        <v>3388.33</v>
      </c>
      <c r="I4" s="80">
        <v>3388.33</v>
      </c>
      <c r="J4" s="150">
        <v>12004.53</v>
      </c>
      <c r="L4" s="152">
        <f t="shared" ref="L4:L10" si="2">SUM(C4:J4)</f>
        <v>35722.840000000004</v>
      </c>
      <c r="M4" s="153">
        <v>10574</v>
      </c>
      <c r="N4" s="152">
        <f t="shared" si="1"/>
        <v>25148.840000000004</v>
      </c>
    </row>
    <row r="5" spans="1:14" x14ac:dyDescent="0.25">
      <c r="A5" s="141" t="s">
        <v>97</v>
      </c>
      <c r="B5" s="142">
        <f>'[1]Payroll-12-31-16'!D137</f>
        <v>3524.33</v>
      </c>
      <c r="C5" s="151">
        <v>3921</v>
      </c>
      <c r="D5" s="151">
        <v>3539.33</v>
      </c>
      <c r="E5" s="151">
        <v>2106</v>
      </c>
      <c r="F5" s="151">
        <v>3509.33</v>
      </c>
      <c r="G5" s="151">
        <v>2115</v>
      </c>
      <c r="H5" s="151">
        <v>3518.33</v>
      </c>
      <c r="I5" s="151">
        <v>2151</v>
      </c>
      <c r="J5" s="150">
        <v>3542.33</v>
      </c>
      <c r="L5" s="152">
        <f t="shared" si="2"/>
        <v>24402.32</v>
      </c>
      <c r="M5" s="151">
        <v>46789</v>
      </c>
      <c r="N5" s="152">
        <f t="shared" si="1"/>
        <v>-22386.68</v>
      </c>
    </row>
    <row r="6" spans="1:14" x14ac:dyDescent="0.25">
      <c r="A6" s="141" t="s">
        <v>98</v>
      </c>
      <c r="B6" s="142">
        <f>'[1]Payroll-12-31-16'!D138</f>
        <v>1335.46</v>
      </c>
      <c r="C6" s="80">
        <v>1335.46</v>
      </c>
      <c r="D6" s="80">
        <v>1335.46</v>
      </c>
      <c r="E6" s="80">
        <v>1335.46</v>
      </c>
      <c r="F6" s="80">
        <v>1335.46</v>
      </c>
      <c r="G6" s="80">
        <v>1335.46</v>
      </c>
      <c r="H6" s="80">
        <v>1335.46</v>
      </c>
      <c r="I6" s="80">
        <v>1335.46</v>
      </c>
      <c r="J6" s="143">
        <v>1335.46</v>
      </c>
      <c r="L6" s="152">
        <f t="shared" si="2"/>
        <v>10683.68</v>
      </c>
      <c r="M6" s="153">
        <v>10684</v>
      </c>
      <c r="N6" s="152">
        <f t="shared" si="1"/>
        <v>-0.31999999999970896</v>
      </c>
    </row>
    <row r="7" spans="1:14" x14ac:dyDescent="0.25">
      <c r="A7" s="141" t="s">
        <v>99</v>
      </c>
      <c r="B7" s="142">
        <f>'[1]Payroll-12-31-16'!D139</f>
        <v>7048.3910000000005</v>
      </c>
      <c r="C7" s="80">
        <v>7529.7910000000002</v>
      </c>
      <c r="D7" s="80">
        <v>7055.8910000000005</v>
      </c>
      <c r="E7" s="80">
        <v>7016.8810000000003</v>
      </c>
      <c r="F7" s="80">
        <v>7086.491</v>
      </c>
      <c r="G7" s="80">
        <v>7127.7809999999999</v>
      </c>
      <c r="H7" s="80">
        <v>7045.3810000000003</v>
      </c>
      <c r="I7" s="80">
        <v>7039.3810000000003</v>
      </c>
      <c r="J7" s="143">
        <v>7057.3810000000003</v>
      </c>
      <c r="L7" s="152">
        <f t="shared" si="2"/>
        <v>56958.97800000001</v>
      </c>
      <c r="M7" s="153">
        <v>56735</v>
      </c>
      <c r="N7" s="152">
        <f t="shared" si="1"/>
        <v>223.97800000001007</v>
      </c>
    </row>
    <row r="8" spans="1:14" x14ac:dyDescent="0.25">
      <c r="A8" s="141" t="s">
        <v>100</v>
      </c>
      <c r="B8" s="142">
        <f>'[1]Payroll-12-31-16'!D140</f>
        <v>127620.56999999999</v>
      </c>
      <c r="C8" s="80">
        <v>172229.24000000005</v>
      </c>
      <c r="D8" s="80">
        <v>126552.46</v>
      </c>
      <c r="E8" s="80">
        <v>148604.38000000003</v>
      </c>
      <c r="F8" s="80">
        <v>126683.66000000002</v>
      </c>
      <c r="G8" s="80">
        <v>140905.41000000003</v>
      </c>
      <c r="H8" s="80">
        <v>149397.43999999994</v>
      </c>
      <c r="I8" s="80">
        <v>140580.41000000006</v>
      </c>
      <c r="J8" s="143">
        <v>126080.64</v>
      </c>
      <c r="L8" s="152">
        <f t="shared" si="2"/>
        <v>1131033.6400000001</v>
      </c>
      <c r="M8" s="153">
        <v>1110069</v>
      </c>
      <c r="N8" s="152">
        <f t="shared" si="1"/>
        <v>20964.64000000013</v>
      </c>
    </row>
    <row r="9" spans="1:14" x14ac:dyDescent="0.25">
      <c r="A9" s="141" t="s">
        <v>101</v>
      </c>
      <c r="B9" s="142">
        <f>'[1]Payroll-12-31-16'!D141</f>
        <v>86548.319999999992</v>
      </c>
      <c r="C9" s="80">
        <v>112699.91999999998</v>
      </c>
      <c r="D9" s="80">
        <v>84692.27</v>
      </c>
      <c r="E9" s="80">
        <v>95017.68</v>
      </c>
      <c r="F9" s="80">
        <v>95557.549999999988</v>
      </c>
      <c r="G9" s="80">
        <v>89390.810000000012</v>
      </c>
      <c r="H9" s="80">
        <v>134736.91</v>
      </c>
      <c r="I9" s="80">
        <v>94874.610000000015</v>
      </c>
      <c r="J9" s="143">
        <v>94456.340000000026</v>
      </c>
      <c r="L9" s="152">
        <f t="shared" si="2"/>
        <v>801426.09000000008</v>
      </c>
      <c r="M9" s="153">
        <v>724268</v>
      </c>
      <c r="N9" s="152">
        <f>+L9-M9</f>
        <v>77158.090000000084</v>
      </c>
    </row>
    <row r="10" spans="1:14" ht="15.75" thickBot="1" x14ac:dyDescent="0.3">
      <c r="A10" s="144" t="s">
        <v>102</v>
      </c>
      <c r="B10" s="145">
        <f>'[1]Payroll-12-31-16'!D142</f>
        <v>23846.043999999998</v>
      </c>
      <c r="C10" s="146">
        <v>25647.074000000001</v>
      </c>
      <c r="D10" s="146">
        <v>21014.564000000002</v>
      </c>
      <c r="E10" s="146">
        <v>22279.024000000001</v>
      </c>
      <c r="F10" s="146">
        <v>20854.194</v>
      </c>
      <c r="G10" s="146">
        <v>20314.703999999998</v>
      </c>
      <c r="H10" s="146">
        <v>24423.614000000001</v>
      </c>
      <c r="I10" s="146">
        <v>21921.243999999999</v>
      </c>
      <c r="J10" s="147">
        <v>21826.054</v>
      </c>
      <c r="L10" s="152">
        <f t="shared" si="2"/>
        <v>178280.47200000001</v>
      </c>
      <c r="M10" s="153">
        <v>163615</v>
      </c>
      <c r="N10" s="152">
        <f t="shared" ref="N10" si="3">+L10-M10</f>
        <v>14665.472000000009</v>
      </c>
    </row>
    <row r="11" spans="1:14" ht="54.75" customHeight="1" thickBot="1" x14ac:dyDescent="0.3">
      <c r="A11" s="148" t="s">
        <v>103</v>
      </c>
      <c r="B11" s="149">
        <f>SUM(B3:B10)</f>
        <v>257528.11499999999</v>
      </c>
      <c r="C11" s="149">
        <f t="shared" ref="C11:J11" si="4">SUM(C3:C10)</f>
        <v>329167.48500000004</v>
      </c>
      <c r="D11" s="149">
        <f t="shared" si="4"/>
        <v>251794.97500000003</v>
      </c>
      <c r="E11" s="149">
        <f t="shared" si="4"/>
        <v>282164.42499999999</v>
      </c>
      <c r="F11" s="149">
        <f t="shared" si="4"/>
        <v>262631.685</v>
      </c>
      <c r="G11" s="149">
        <f t="shared" si="4"/>
        <v>266994.16500000004</v>
      </c>
      <c r="H11" s="149">
        <f t="shared" si="4"/>
        <v>328062.13499999995</v>
      </c>
      <c r="I11" s="149">
        <f t="shared" si="4"/>
        <v>273707.10500000004</v>
      </c>
      <c r="J11" s="149">
        <f t="shared" si="4"/>
        <v>270519.40500000003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X253"/>
  <sheetViews>
    <sheetView topLeftCell="A43" workbookViewId="0">
      <selection activeCell="F68" sqref="F68"/>
    </sheetView>
  </sheetViews>
  <sheetFormatPr defaultRowHeight="15" x14ac:dyDescent="0.25"/>
  <cols>
    <col min="1" max="1" width="14" customWidth="1"/>
    <col min="2" max="2" width="27.7109375" bestFit="1" customWidth="1"/>
    <col min="3" max="3" width="2.7109375" customWidth="1"/>
    <col min="4" max="4" width="14.7109375" style="13" customWidth="1"/>
    <col min="5" max="5" width="2.7109375" customWidth="1"/>
    <col min="6" max="6" width="15.42578125" customWidth="1"/>
    <col min="7" max="7" width="2.7109375" customWidth="1"/>
    <col min="8" max="8" width="16.140625" style="40" customWidth="1"/>
    <col min="9" max="9" width="15.140625" customWidth="1"/>
    <col min="10" max="11" width="9.28515625" style="8" customWidth="1"/>
    <col min="12" max="12" width="12.7109375" style="1" bestFit="1" customWidth="1"/>
    <col min="13" max="13" width="13" style="1" customWidth="1"/>
    <col min="14" max="14" width="14.140625" style="61" customWidth="1"/>
    <col min="15" max="15" width="13.85546875" style="1" bestFit="1" customWidth="1"/>
    <col min="16" max="16" width="11.5703125" style="1" bestFit="1" customWidth="1"/>
    <col min="17" max="18" width="11.5703125" style="1" customWidth="1"/>
    <col min="19" max="19" width="13.7109375" style="1" customWidth="1"/>
    <col min="20" max="20" width="13.28515625" style="1" bestFit="1" customWidth="1"/>
    <col min="21" max="21" width="9.140625" style="1"/>
    <col min="22" max="22" width="15.42578125" style="1" customWidth="1"/>
    <col min="23" max="23" width="19.28515625" style="1" customWidth="1"/>
    <col min="24" max="26" width="12.7109375" style="1" customWidth="1"/>
    <col min="27" max="72" width="9.140625" style="1"/>
    <col min="259" max="259" width="14" customWidth="1"/>
    <col min="260" max="260" width="27.7109375" bestFit="1" customWidth="1"/>
    <col min="261" max="261" width="2.7109375" customWidth="1"/>
    <col min="262" max="262" width="14.7109375" customWidth="1"/>
    <col min="263" max="263" width="2.7109375" customWidth="1"/>
    <col min="264" max="264" width="15.42578125" customWidth="1"/>
    <col min="265" max="265" width="2.7109375" customWidth="1"/>
    <col min="266" max="266" width="13.85546875" customWidth="1"/>
    <col min="267" max="267" width="15.140625" customWidth="1"/>
    <col min="268" max="268" width="9.28515625" customWidth="1"/>
    <col min="269" max="269" width="7.42578125" customWidth="1"/>
    <col min="270" max="270" width="12.7109375" bestFit="1" customWidth="1"/>
    <col min="515" max="515" width="14" customWidth="1"/>
    <col min="516" max="516" width="27.7109375" bestFit="1" customWidth="1"/>
    <col min="517" max="517" width="2.7109375" customWidth="1"/>
    <col min="518" max="518" width="14.7109375" customWidth="1"/>
    <col min="519" max="519" width="2.7109375" customWidth="1"/>
    <col min="520" max="520" width="15.42578125" customWidth="1"/>
    <col min="521" max="521" width="2.7109375" customWidth="1"/>
    <col min="522" max="522" width="13.85546875" customWidth="1"/>
    <col min="523" max="523" width="15.140625" customWidth="1"/>
    <col min="524" max="524" width="9.28515625" customWidth="1"/>
    <col min="525" max="525" width="7.42578125" customWidth="1"/>
    <col min="526" max="526" width="12.7109375" bestFit="1" customWidth="1"/>
    <col min="771" max="771" width="14" customWidth="1"/>
    <col min="772" max="772" width="27.7109375" bestFit="1" customWidth="1"/>
    <col min="773" max="773" width="2.7109375" customWidth="1"/>
    <col min="774" max="774" width="14.7109375" customWidth="1"/>
    <col min="775" max="775" width="2.7109375" customWidth="1"/>
    <col min="776" max="776" width="15.42578125" customWidth="1"/>
    <col min="777" max="777" width="2.7109375" customWidth="1"/>
    <col min="778" max="778" width="13.85546875" customWidth="1"/>
    <col min="779" max="779" width="15.140625" customWidth="1"/>
    <col min="780" max="780" width="9.28515625" customWidth="1"/>
    <col min="781" max="781" width="7.42578125" customWidth="1"/>
    <col min="782" max="782" width="12.7109375" bestFit="1" customWidth="1"/>
    <col min="1027" max="1027" width="14" customWidth="1"/>
    <col min="1028" max="1028" width="27.7109375" bestFit="1" customWidth="1"/>
    <col min="1029" max="1029" width="2.7109375" customWidth="1"/>
    <col min="1030" max="1030" width="14.7109375" customWidth="1"/>
    <col min="1031" max="1031" width="2.7109375" customWidth="1"/>
    <col min="1032" max="1032" width="15.42578125" customWidth="1"/>
    <col min="1033" max="1033" width="2.7109375" customWidth="1"/>
    <col min="1034" max="1034" width="13.85546875" customWidth="1"/>
    <col min="1035" max="1035" width="15.140625" customWidth="1"/>
    <col min="1036" max="1036" width="9.28515625" customWidth="1"/>
    <col min="1037" max="1037" width="7.42578125" customWidth="1"/>
    <col min="1038" max="1038" width="12.7109375" bestFit="1" customWidth="1"/>
    <col min="1283" max="1283" width="14" customWidth="1"/>
    <col min="1284" max="1284" width="27.7109375" bestFit="1" customWidth="1"/>
    <col min="1285" max="1285" width="2.7109375" customWidth="1"/>
    <col min="1286" max="1286" width="14.7109375" customWidth="1"/>
    <col min="1287" max="1287" width="2.7109375" customWidth="1"/>
    <col min="1288" max="1288" width="15.42578125" customWidth="1"/>
    <col min="1289" max="1289" width="2.7109375" customWidth="1"/>
    <col min="1290" max="1290" width="13.85546875" customWidth="1"/>
    <col min="1291" max="1291" width="15.140625" customWidth="1"/>
    <col min="1292" max="1292" width="9.28515625" customWidth="1"/>
    <col min="1293" max="1293" width="7.42578125" customWidth="1"/>
    <col min="1294" max="1294" width="12.7109375" bestFit="1" customWidth="1"/>
    <col min="1539" max="1539" width="14" customWidth="1"/>
    <col min="1540" max="1540" width="27.7109375" bestFit="1" customWidth="1"/>
    <col min="1541" max="1541" width="2.7109375" customWidth="1"/>
    <col min="1542" max="1542" width="14.7109375" customWidth="1"/>
    <col min="1543" max="1543" width="2.7109375" customWidth="1"/>
    <col min="1544" max="1544" width="15.42578125" customWidth="1"/>
    <col min="1545" max="1545" width="2.7109375" customWidth="1"/>
    <col min="1546" max="1546" width="13.85546875" customWidth="1"/>
    <col min="1547" max="1547" width="15.140625" customWidth="1"/>
    <col min="1548" max="1548" width="9.28515625" customWidth="1"/>
    <col min="1549" max="1549" width="7.42578125" customWidth="1"/>
    <col min="1550" max="1550" width="12.7109375" bestFit="1" customWidth="1"/>
    <col min="1795" max="1795" width="14" customWidth="1"/>
    <col min="1796" max="1796" width="27.7109375" bestFit="1" customWidth="1"/>
    <col min="1797" max="1797" width="2.7109375" customWidth="1"/>
    <col min="1798" max="1798" width="14.7109375" customWidth="1"/>
    <col min="1799" max="1799" width="2.7109375" customWidth="1"/>
    <col min="1800" max="1800" width="15.42578125" customWidth="1"/>
    <col min="1801" max="1801" width="2.7109375" customWidth="1"/>
    <col min="1802" max="1802" width="13.85546875" customWidth="1"/>
    <col min="1803" max="1803" width="15.140625" customWidth="1"/>
    <col min="1804" max="1804" width="9.28515625" customWidth="1"/>
    <col min="1805" max="1805" width="7.42578125" customWidth="1"/>
    <col min="1806" max="1806" width="12.7109375" bestFit="1" customWidth="1"/>
    <col min="2051" max="2051" width="14" customWidth="1"/>
    <col min="2052" max="2052" width="27.7109375" bestFit="1" customWidth="1"/>
    <col min="2053" max="2053" width="2.7109375" customWidth="1"/>
    <col min="2054" max="2054" width="14.7109375" customWidth="1"/>
    <col min="2055" max="2055" width="2.7109375" customWidth="1"/>
    <col min="2056" max="2056" width="15.42578125" customWidth="1"/>
    <col min="2057" max="2057" width="2.7109375" customWidth="1"/>
    <col min="2058" max="2058" width="13.85546875" customWidth="1"/>
    <col min="2059" max="2059" width="15.140625" customWidth="1"/>
    <col min="2060" max="2060" width="9.28515625" customWidth="1"/>
    <col min="2061" max="2061" width="7.42578125" customWidth="1"/>
    <col min="2062" max="2062" width="12.7109375" bestFit="1" customWidth="1"/>
    <col min="2307" max="2307" width="14" customWidth="1"/>
    <col min="2308" max="2308" width="27.7109375" bestFit="1" customWidth="1"/>
    <col min="2309" max="2309" width="2.7109375" customWidth="1"/>
    <col min="2310" max="2310" width="14.7109375" customWidth="1"/>
    <col min="2311" max="2311" width="2.7109375" customWidth="1"/>
    <col min="2312" max="2312" width="15.42578125" customWidth="1"/>
    <col min="2313" max="2313" width="2.7109375" customWidth="1"/>
    <col min="2314" max="2314" width="13.85546875" customWidth="1"/>
    <col min="2315" max="2315" width="15.140625" customWidth="1"/>
    <col min="2316" max="2316" width="9.28515625" customWidth="1"/>
    <col min="2317" max="2317" width="7.42578125" customWidth="1"/>
    <col min="2318" max="2318" width="12.7109375" bestFit="1" customWidth="1"/>
    <col min="2563" max="2563" width="14" customWidth="1"/>
    <col min="2564" max="2564" width="27.7109375" bestFit="1" customWidth="1"/>
    <col min="2565" max="2565" width="2.7109375" customWidth="1"/>
    <col min="2566" max="2566" width="14.7109375" customWidth="1"/>
    <col min="2567" max="2567" width="2.7109375" customWidth="1"/>
    <col min="2568" max="2568" width="15.42578125" customWidth="1"/>
    <col min="2569" max="2569" width="2.7109375" customWidth="1"/>
    <col min="2570" max="2570" width="13.85546875" customWidth="1"/>
    <col min="2571" max="2571" width="15.140625" customWidth="1"/>
    <col min="2572" max="2572" width="9.28515625" customWidth="1"/>
    <col min="2573" max="2573" width="7.42578125" customWidth="1"/>
    <col min="2574" max="2574" width="12.7109375" bestFit="1" customWidth="1"/>
    <col min="2819" max="2819" width="14" customWidth="1"/>
    <col min="2820" max="2820" width="27.7109375" bestFit="1" customWidth="1"/>
    <col min="2821" max="2821" width="2.7109375" customWidth="1"/>
    <col min="2822" max="2822" width="14.7109375" customWidth="1"/>
    <col min="2823" max="2823" width="2.7109375" customWidth="1"/>
    <col min="2824" max="2824" width="15.42578125" customWidth="1"/>
    <col min="2825" max="2825" width="2.7109375" customWidth="1"/>
    <col min="2826" max="2826" width="13.85546875" customWidth="1"/>
    <col min="2827" max="2827" width="15.140625" customWidth="1"/>
    <col min="2828" max="2828" width="9.28515625" customWidth="1"/>
    <col min="2829" max="2829" width="7.42578125" customWidth="1"/>
    <col min="2830" max="2830" width="12.7109375" bestFit="1" customWidth="1"/>
    <col min="3075" max="3075" width="14" customWidth="1"/>
    <col min="3076" max="3076" width="27.7109375" bestFit="1" customWidth="1"/>
    <col min="3077" max="3077" width="2.7109375" customWidth="1"/>
    <col min="3078" max="3078" width="14.7109375" customWidth="1"/>
    <col min="3079" max="3079" width="2.7109375" customWidth="1"/>
    <col min="3080" max="3080" width="15.42578125" customWidth="1"/>
    <col min="3081" max="3081" width="2.7109375" customWidth="1"/>
    <col min="3082" max="3082" width="13.85546875" customWidth="1"/>
    <col min="3083" max="3083" width="15.140625" customWidth="1"/>
    <col min="3084" max="3084" width="9.28515625" customWidth="1"/>
    <col min="3085" max="3085" width="7.42578125" customWidth="1"/>
    <col min="3086" max="3086" width="12.7109375" bestFit="1" customWidth="1"/>
    <col min="3331" max="3331" width="14" customWidth="1"/>
    <col min="3332" max="3332" width="27.7109375" bestFit="1" customWidth="1"/>
    <col min="3333" max="3333" width="2.7109375" customWidth="1"/>
    <col min="3334" max="3334" width="14.7109375" customWidth="1"/>
    <col min="3335" max="3335" width="2.7109375" customWidth="1"/>
    <col min="3336" max="3336" width="15.42578125" customWidth="1"/>
    <col min="3337" max="3337" width="2.7109375" customWidth="1"/>
    <col min="3338" max="3338" width="13.85546875" customWidth="1"/>
    <col min="3339" max="3339" width="15.140625" customWidth="1"/>
    <col min="3340" max="3340" width="9.28515625" customWidth="1"/>
    <col min="3341" max="3341" width="7.42578125" customWidth="1"/>
    <col min="3342" max="3342" width="12.7109375" bestFit="1" customWidth="1"/>
    <col min="3587" max="3587" width="14" customWidth="1"/>
    <col min="3588" max="3588" width="27.7109375" bestFit="1" customWidth="1"/>
    <col min="3589" max="3589" width="2.7109375" customWidth="1"/>
    <col min="3590" max="3590" width="14.7109375" customWidth="1"/>
    <col min="3591" max="3591" width="2.7109375" customWidth="1"/>
    <col min="3592" max="3592" width="15.42578125" customWidth="1"/>
    <col min="3593" max="3593" width="2.7109375" customWidth="1"/>
    <col min="3594" max="3594" width="13.85546875" customWidth="1"/>
    <col min="3595" max="3595" width="15.140625" customWidth="1"/>
    <col min="3596" max="3596" width="9.28515625" customWidth="1"/>
    <col min="3597" max="3597" width="7.42578125" customWidth="1"/>
    <col min="3598" max="3598" width="12.7109375" bestFit="1" customWidth="1"/>
    <col min="3843" max="3843" width="14" customWidth="1"/>
    <col min="3844" max="3844" width="27.7109375" bestFit="1" customWidth="1"/>
    <col min="3845" max="3845" width="2.7109375" customWidth="1"/>
    <col min="3846" max="3846" width="14.7109375" customWidth="1"/>
    <col min="3847" max="3847" width="2.7109375" customWidth="1"/>
    <col min="3848" max="3848" width="15.42578125" customWidth="1"/>
    <col min="3849" max="3849" width="2.7109375" customWidth="1"/>
    <col min="3850" max="3850" width="13.85546875" customWidth="1"/>
    <col min="3851" max="3851" width="15.140625" customWidth="1"/>
    <col min="3852" max="3852" width="9.28515625" customWidth="1"/>
    <col min="3853" max="3853" width="7.42578125" customWidth="1"/>
    <col min="3854" max="3854" width="12.7109375" bestFit="1" customWidth="1"/>
    <col min="4099" max="4099" width="14" customWidth="1"/>
    <col min="4100" max="4100" width="27.7109375" bestFit="1" customWidth="1"/>
    <col min="4101" max="4101" width="2.7109375" customWidth="1"/>
    <col min="4102" max="4102" width="14.7109375" customWidth="1"/>
    <col min="4103" max="4103" width="2.7109375" customWidth="1"/>
    <col min="4104" max="4104" width="15.42578125" customWidth="1"/>
    <col min="4105" max="4105" width="2.7109375" customWidth="1"/>
    <col min="4106" max="4106" width="13.85546875" customWidth="1"/>
    <col min="4107" max="4107" width="15.140625" customWidth="1"/>
    <col min="4108" max="4108" width="9.28515625" customWidth="1"/>
    <col min="4109" max="4109" width="7.42578125" customWidth="1"/>
    <col min="4110" max="4110" width="12.7109375" bestFit="1" customWidth="1"/>
    <col min="4355" max="4355" width="14" customWidth="1"/>
    <col min="4356" max="4356" width="27.7109375" bestFit="1" customWidth="1"/>
    <col min="4357" max="4357" width="2.7109375" customWidth="1"/>
    <col min="4358" max="4358" width="14.7109375" customWidth="1"/>
    <col min="4359" max="4359" width="2.7109375" customWidth="1"/>
    <col min="4360" max="4360" width="15.42578125" customWidth="1"/>
    <col min="4361" max="4361" width="2.7109375" customWidth="1"/>
    <col min="4362" max="4362" width="13.85546875" customWidth="1"/>
    <col min="4363" max="4363" width="15.140625" customWidth="1"/>
    <col min="4364" max="4364" width="9.28515625" customWidth="1"/>
    <col min="4365" max="4365" width="7.42578125" customWidth="1"/>
    <col min="4366" max="4366" width="12.7109375" bestFit="1" customWidth="1"/>
    <col min="4611" max="4611" width="14" customWidth="1"/>
    <col min="4612" max="4612" width="27.7109375" bestFit="1" customWidth="1"/>
    <col min="4613" max="4613" width="2.7109375" customWidth="1"/>
    <col min="4614" max="4614" width="14.7109375" customWidth="1"/>
    <col min="4615" max="4615" width="2.7109375" customWidth="1"/>
    <col min="4616" max="4616" width="15.42578125" customWidth="1"/>
    <col min="4617" max="4617" width="2.7109375" customWidth="1"/>
    <col min="4618" max="4618" width="13.85546875" customWidth="1"/>
    <col min="4619" max="4619" width="15.140625" customWidth="1"/>
    <col min="4620" max="4620" width="9.28515625" customWidth="1"/>
    <col min="4621" max="4621" width="7.42578125" customWidth="1"/>
    <col min="4622" max="4622" width="12.7109375" bestFit="1" customWidth="1"/>
    <col min="4867" max="4867" width="14" customWidth="1"/>
    <col min="4868" max="4868" width="27.7109375" bestFit="1" customWidth="1"/>
    <col min="4869" max="4869" width="2.7109375" customWidth="1"/>
    <col min="4870" max="4870" width="14.7109375" customWidth="1"/>
    <col min="4871" max="4871" width="2.7109375" customWidth="1"/>
    <col min="4872" max="4872" width="15.42578125" customWidth="1"/>
    <col min="4873" max="4873" width="2.7109375" customWidth="1"/>
    <col min="4874" max="4874" width="13.85546875" customWidth="1"/>
    <col min="4875" max="4875" width="15.140625" customWidth="1"/>
    <col min="4876" max="4876" width="9.28515625" customWidth="1"/>
    <col min="4877" max="4877" width="7.42578125" customWidth="1"/>
    <col min="4878" max="4878" width="12.7109375" bestFit="1" customWidth="1"/>
    <col min="5123" max="5123" width="14" customWidth="1"/>
    <col min="5124" max="5124" width="27.7109375" bestFit="1" customWidth="1"/>
    <col min="5125" max="5125" width="2.7109375" customWidth="1"/>
    <col min="5126" max="5126" width="14.7109375" customWidth="1"/>
    <col min="5127" max="5127" width="2.7109375" customWidth="1"/>
    <col min="5128" max="5128" width="15.42578125" customWidth="1"/>
    <col min="5129" max="5129" width="2.7109375" customWidth="1"/>
    <col min="5130" max="5130" width="13.85546875" customWidth="1"/>
    <col min="5131" max="5131" width="15.140625" customWidth="1"/>
    <col min="5132" max="5132" width="9.28515625" customWidth="1"/>
    <col min="5133" max="5133" width="7.42578125" customWidth="1"/>
    <col min="5134" max="5134" width="12.7109375" bestFit="1" customWidth="1"/>
    <col min="5379" max="5379" width="14" customWidth="1"/>
    <col min="5380" max="5380" width="27.7109375" bestFit="1" customWidth="1"/>
    <col min="5381" max="5381" width="2.7109375" customWidth="1"/>
    <col min="5382" max="5382" width="14.7109375" customWidth="1"/>
    <col min="5383" max="5383" width="2.7109375" customWidth="1"/>
    <col min="5384" max="5384" width="15.42578125" customWidth="1"/>
    <col min="5385" max="5385" width="2.7109375" customWidth="1"/>
    <col min="5386" max="5386" width="13.85546875" customWidth="1"/>
    <col min="5387" max="5387" width="15.140625" customWidth="1"/>
    <col min="5388" max="5388" width="9.28515625" customWidth="1"/>
    <col min="5389" max="5389" width="7.42578125" customWidth="1"/>
    <col min="5390" max="5390" width="12.7109375" bestFit="1" customWidth="1"/>
    <col min="5635" max="5635" width="14" customWidth="1"/>
    <col min="5636" max="5636" width="27.7109375" bestFit="1" customWidth="1"/>
    <col min="5637" max="5637" width="2.7109375" customWidth="1"/>
    <col min="5638" max="5638" width="14.7109375" customWidth="1"/>
    <col min="5639" max="5639" width="2.7109375" customWidth="1"/>
    <col min="5640" max="5640" width="15.42578125" customWidth="1"/>
    <col min="5641" max="5641" width="2.7109375" customWidth="1"/>
    <col min="5642" max="5642" width="13.85546875" customWidth="1"/>
    <col min="5643" max="5643" width="15.140625" customWidth="1"/>
    <col min="5644" max="5644" width="9.28515625" customWidth="1"/>
    <col min="5645" max="5645" width="7.42578125" customWidth="1"/>
    <col min="5646" max="5646" width="12.7109375" bestFit="1" customWidth="1"/>
    <col min="5891" max="5891" width="14" customWidth="1"/>
    <col min="5892" max="5892" width="27.7109375" bestFit="1" customWidth="1"/>
    <col min="5893" max="5893" width="2.7109375" customWidth="1"/>
    <col min="5894" max="5894" width="14.7109375" customWidth="1"/>
    <col min="5895" max="5895" width="2.7109375" customWidth="1"/>
    <col min="5896" max="5896" width="15.42578125" customWidth="1"/>
    <col min="5897" max="5897" width="2.7109375" customWidth="1"/>
    <col min="5898" max="5898" width="13.85546875" customWidth="1"/>
    <col min="5899" max="5899" width="15.140625" customWidth="1"/>
    <col min="5900" max="5900" width="9.28515625" customWidth="1"/>
    <col min="5901" max="5901" width="7.42578125" customWidth="1"/>
    <col min="5902" max="5902" width="12.7109375" bestFit="1" customWidth="1"/>
    <col min="6147" max="6147" width="14" customWidth="1"/>
    <col min="6148" max="6148" width="27.7109375" bestFit="1" customWidth="1"/>
    <col min="6149" max="6149" width="2.7109375" customWidth="1"/>
    <col min="6150" max="6150" width="14.7109375" customWidth="1"/>
    <col min="6151" max="6151" width="2.7109375" customWidth="1"/>
    <col min="6152" max="6152" width="15.42578125" customWidth="1"/>
    <col min="6153" max="6153" width="2.7109375" customWidth="1"/>
    <col min="6154" max="6154" width="13.85546875" customWidth="1"/>
    <col min="6155" max="6155" width="15.140625" customWidth="1"/>
    <col min="6156" max="6156" width="9.28515625" customWidth="1"/>
    <col min="6157" max="6157" width="7.42578125" customWidth="1"/>
    <col min="6158" max="6158" width="12.7109375" bestFit="1" customWidth="1"/>
    <col min="6403" max="6403" width="14" customWidth="1"/>
    <col min="6404" max="6404" width="27.7109375" bestFit="1" customWidth="1"/>
    <col min="6405" max="6405" width="2.7109375" customWidth="1"/>
    <col min="6406" max="6406" width="14.7109375" customWidth="1"/>
    <col min="6407" max="6407" width="2.7109375" customWidth="1"/>
    <col min="6408" max="6408" width="15.42578125" customWidth="1"/>
    <col min="6409" max="6409" width="2.7109375" customWidth="1"/>
    <col min="6410" max="6410" width="13.85546875" customWidth="1"/>
    <col min="6411" max="6411" width="15.140625" customWidth="1"/>
    <col min="6412" max="6412" width="9.28515625" customWidth="1"/>
    <col min="6413" max="6413" width="7.42578125" customWidth="1"/>
    <col min="6414" max="6414" width="12.7109375" bestFit="1" customWidth="1"/>
    <col min="6659" max="6659" width="14" customWidth="1"/>
    <col min="6660" max="6660" width="27.7109375" bestFit="1" customWidth="1"/>
    <col min="6661" max="6661" width="2.7109375" customWidth="1"/>
    <col min="6662" max="6662" width="14.7109375" customWidth="1"/>
    <col min="6663" max="6663" width="2.7109375" customWidth="1"/>
    <col min="6664" max="6664" width="15.42578125" customWidth="1"/>
    <col min="6665" max="6665" width="2.7109375" customWidth="1"/>
    <col min="6666" max="6666" width="13.85546875" customWidth="1"/>
    <col min="6667" max="6667" width="15.140625" customWidth="1"/>
    <col min="6668" max="6668" width="9.28515625" customWidth="1"/>
    <col min="6669" max="6669" width="7.42578125" customWidth="1"/>
    <col min="6670" max="6670" width="12.7109375" bestFit="1" customWidth="1"/>
    <col min="6915" max="6915" width="14" customWidth="1"/>
    <col min="6916" max="6916" width="27.7109375" bestFit="1" customWidth="1"/>
    <col min="6917" max="6917" width="2.7109375" customWidth="1"/>
    <col min="6918" max="6918" width="14.7109375" customWidth="1"/>
    <col min="6919" max="6919" width="2.7109375" customWidth="1"/>
    <col min="6920" max="6920" width="15.42578125" customWidth="1"/>
    <col min="6921" max="6921" width="2.7109375" customWidth="1"/>
    <col min="6922" max="6922" width="13.85546875" customWidth="1"/>
    <col min="6923" max="6923" width="15.140625" customWidth="1"/>
    <col min="6924" max="6924" width="9.28515625" customWidth="1"/>
    <col min="6925" max="6925" width="7.42578125" customWidth="1"/>
    <col min="6926" max="6926" width="12.7109375" bestFit="1" customWidth="1"/>
    <col min="7171" max="7171" width="14" customWidth="1"/>
    <col min="7172" max="7172" width="27.7109375" bestFit="1" customWidth="1"/>
    <col min="7173" max="7173" width="2.7109375" customWidth="1"/>
    <col min="7174" max="7174" width="14.7109375" customWidth="1"/>
    <col min="7175" max="7175" width="2.7109375" customWidth="1"/>
    <col min="7176" max="7176" width="15.42578125" customWidth="1"/>
    <col min="7177" max="7177" width="2.7109375" customWidth="1"/>
    <col min="7178" max="7178" width="13.85546875" customWidth="1"/>
    <col min="7179" max="7179" width="15.140625" customWidth="1"/>
    <col min="7180" max="7180" width="9.28515625" customWidth="1"/>
    <col min="7181" max="7181" width="7.42578125" customWidth="1"/>
    <col min="7182" max="7182" width="12.7109375" bestFit="1" customWidth="1"/>
    <col min="7427" max="7427" width="14" customWidth="1"/>
    <col min="7428" max="7428" width="27.7109375" bestFit="1" customWidth="1"/>
    <col min="7429" max="7429" width="2.7109375" customWidth="1"/>
    <col min="7430" max="7430" width="14.7109375" customWidth="1"/>
    <col min="7431" max="7431" width="2.7109375" customWidth="1"/>
    <col min="7432" max="7432" width="15.42578125" customWidth="1"/>
    <col min="7433" max="7433" width="2.7109375" customWidth="1"/>
    <col min="7434" max="7434" width="13.85546875" customWidth="1"/>
    <col min="7435" max="7435" width="15.140625" customWidth="1"/>
    <col min="7436" max="7436" width="9.28515625" customWidth="1"/>
    <col min="7437" max="7437" width="7.42578125" customWidth="1"/>
    <col min="7438" max="7438" width="12.7109375" bestFit="1" customWidth="1"/>
    <col min="7683" max="7683" width="14" customWidth="1"/>
    <col min="7684" max="7684" width="27.7109375" bestFit="1" customWidth="1"/>
    <col min="7685" max="7685" width="2.7109375" customWidth="1"/>
    <col min="7686" max="7686" width="14.7109375" customWidth="1"/>
    <col min="7687" max="7687" width="2.7109375" customWidth="1"/>
    <col min="7688" max="7688" width="15.42578125" customWidth="1"/>
    <col min="7689" max="7689" width="2.7109375" customWidth="1"/>
    <col min="7690" max="7690" width="13.85546875" customWidth="1"/>
    <col min="7691" max="7691" width="15.140625" customWidth="1"/>
    <col min="7692" max="7692" width="9.28515625" customWidth="1"/>
    <col min="7693" max="7693" width="7.42578125" customWidth="1"/>
    <col min="7694" max="7694" width="12.7109375" bestFit="1" customWidth="1"/>
    <col min="7939" max="7939" width="14" customWidth="1"/>
    <col min="7940" max="7940" width="27.7109375" bestFit="1" customWidth="1"/>
    <col min="7941" max="7941" width="2.7109375" customWidth="1"/>
    <col min="7942" max="7942" width="14.7109375" customWidth="1"/>
    <col min="7943" max="7943" width="2.7109375" customWidth="1"/>
    <col min="7944" max="7944" width="15.42578125" customWidth="1"/>
    <col min="7945" max="7945" width="2.7109375" customWidth="1"/>
    <col min="7946" max="7946" width="13.85546875" customWidth="1"/>
    <col min="7947" max="7947" width="15.140625" customWidth="1"/>
    <col min="7948" max="7948" width="9.28515625" customWidth="1"/>
    <col min="7949" max="7949" width="7.42578125" customWidth="1"/>
    <col min="7950" max="7950" width="12.7109375" bestFit="1" customWidth="1"/>
    <col min="8195" max="8195" width="14" customWidth="1"/>
    <col min="8196" max="8196" width="27.7109375" bestFit="1" customWidth="1"/>
    <col min="8197" max="8197" width="2.7109375" customWidth="1"/>
    <col min="8198" max="8198" width="14.7109375" customWidth="1"/>
    <col min="8199" max="8199" width="2.7109375" customWidth="1"/>
    <col min="8200" max="8200" width="15.42578125" customWidth="1"/>
    <col min="8201" max="8201" width="2.7109375" customWidth="1"/>
    <col min="8202" max="8202" width="13.85546875" customWidth="1"/>
    <col min="8203" max="8203" width="15.140625" customWidth="1"/>
    <col min="8204" max="8204" width="9.28515625" customWidth="1"/>
    <col min="8205" max="8205" width="7.42578125" customWidth="1"/>
    <col min="8206" max="8206" width="12.7109375" bestFit="1" customWidth="1"/>
    <col min="8451" max="8451" width="14" customWidth="1"/>
    <col min="8452" max="8452" width="27.7109375" bestFit="1" customWidth="1"/>
    <col min="8453" max="8453" width="2.7109375" customWidth="1"/>
    <col min="8454" max="8454" width="14.7109375" customWidth="1"/>
    <col min="8455" max="8455" width="2.7109375" customWidth="1"/>
    <col min="8456" max="8456" width="15.42578125" customWidth="1"/>
    <col min="8457" max="8457" width="2.7109375" customWidth="1"/>
    <col min="8458" max="8458" width="13.85546875" customWidth="1"/>
    <col min="8459" max="8459" width="15.140625" customWidth="1"/>
    <col min="8460" max="8460" width="9.28515625" customWidth="1"/>
    <col min="8461" max="8461" width="7.42578125" customWidth="1"/>
    <col min="8462" max="8462" width="12.7109375" bestFit="1" customWidth="1"/>
    <col min="8707" max="8707" width="14" customWidth="1"/>
    <col min="8708" max="8708" width="27.7109375" bestFit="1" customWidth="1"/>
    <col min="8709" max="8709" width="2.7109375" customWidth="1"/>
    <col min="8710" max="8710" width="14.7109375" customWidth="1"/>
    <col min="8711" max="8711" width="2.7109375" customWidth="1"/>
    <col min="8712" max="8712" width="15.42578125" customWidth="1"/>
    <col min="8713" max="8713" width="2.7109375" customWidth="1"/>
    <col min="8714" max="8714" width="13.85546875" customWidth="1"/>
    <col min="8715" max="8715" width="15.140625" customWidth="1"/>
    <col min="8716" max="8716" width="9.28515625" customWidth="1"/>
    <col min="8717" max="8717" width="7.42578125" customWidth="1"/>
    <col min="8718" max="8718" width="12.7109375" bestFit="1" customWidth="1"/>
    <col min="8963" max="8963" width="14" customWidth="1"/>
    <col min="8964" max="8964" width="27.7109375" bestFit="1" customWidth="1"/>
    <col min="8965" max="8965" width="2.7109375" customWidth="1"/>
    <col min="8966" max="8966" width="14.7109375" customWidth="1"/>
    <col min="8967" max="8967" width="2.7109375" customWidth="1"/>
    <col min="8968" max="8968" width="15.42578125" customWidth="1"/>
    <col min="8969" max="8969" width="2.7109375" customWidth="1"/>
    <col min="8970" max="8970" width="13.85546875" customWidth="1"/>
    <col min="8971" max="8971" width="15.140625" customWidth="1"/>
    <col min="8972" max="8972" width="9.28515625" customWidth="1"/>
    <col min="8973" max="8973" width="7.42578125" customWidth="1"/>
    <col min="8974" max="8974" width="12.7109375" bestFit="1" customWidth="1"/>
    <col min="9219" max="9219" width="14" customWidth="1"/>
    <col min="9220" max="9220" width="27.7109375" bestFit="1" customWidth="1"/>
    <col min="9221" max="9221" width="2.7109375" customWidth="1"/>
    <col min="9222" max="9222" width="14.7109375" customWidth="1"/>
    <col min="9223" max="9223" width="2.7109375" customWidth="1"/>
    <col min="9224" max="9224" width="15.42578125" customWidth="1"/>
    <col min="9225" max="9225" width="2.7109375" customWidth="1"/>
    <col min="9226" max="9226" width="13.85546875" customWidth="1"/>
    <col min="9227" max="9227" width="15.140625" customWidth="1"/>
    <col min="9228" max="9228" width="9.28515625" customWidth="1"/>
    <col min="9229" max="9229" width="7.42578125" customWidth="1"/>
    <col min="9230" max="9230" width="12.7109375" bestFit="1" customWidth="1"/>
    <col min="9475" max="9475" width="14" customWidth="1"/>
    <col min="9476" max="9476" width="27.7109375" bestFit="1" customWidth="1"/>
    <col min="9477" max="9477" width="2.7109375" customWidth="1"/>
    <col min="9478" max="9478" width="14.7109375" customWidth="1"/>
    <col min="9479" max="9479" width="2.7109375" customWidth="1"/>
    <col min="9480" max="9480" width="15.42578125" customWidth="1"/>
    <col min="9481" max="9481" width="2.7109375" customWidth="1"/>
    <col min="9482" max="9482" width="13.85546875" customWidth="1"/>
    <col min="9483" max="9483" width="15.140625" customWidth="1"/>
    <col min="9484" max="9484" width="9.28515625" customWidth="1"/>
    <col min="9485" max="9485" width="7.42578125" customWidth="1"/>
    <col min="9486" max="9486" width="12.7109375" bestFit="1" customWidth="1"/>
    <col min="9731" max="9731" width="14" customWidth="1"/>
    <col min="9732" max="9732" width="27.7109375" bestFit="1" customWidth="1"/>
    <col min="9733" max="9733" width="2.7109375" customWidth="1"/>
    <col min="9734" max="9734" width="14.7109375" customWidth="1"/>
    <col min="9735" max="9735" width="2.7109375" customWidth="1"/>
    <col min="9736" max="9736" width="15.42578125" customWidth="1"/>
    <col min="9737" max="9737" width="2.7109375" customWidth="1"/>
    <col min="9738" max="9738" width="13.85546875" customWidth="1"/>
    <col min="9739" max="9739" width="15.140625" customWidth="1"/>
    <col min="9740" max="9740" width="9.28515625" customWidth="1"/>
    <col min="9741" max="9741" width="7.42578125" customWidth="1"/>
    <col min="9742" max="9742" width="12.7109375" bestFit="1" customWidth="1"/>
    <col min="9987" max="9987" width="14" customWidth="1"/>
    <col min="9988" max="9988" width="27.7109375" bestFit="1" customWidth="1"/>
    <col min="9989" max="9989" width="2.7109375" customWidth="1"/>
    <col min="9990" max="9990" width="14.7109375" customWidth="1"/>
    <col min="9991" max="9991" width="2.7109375" customWidth="1"/>
    <col min="9992" max="9992" width="15.42578125" customWidth="1"/>
    <col min="9993" max="9993" width="2.7109375" customWidth="1"/>
    <col min="9994" max="9994" width="13.85546875" customWidth="1"/>
    <col min="9995" max="9995" width="15.140625" customWidth="1"/>
    <col min="9996" max="9996" width="9.28515625" customWidth="1"/>
    <col min="9997" max="9997" width="7.42578125" customWidth="1"/>
    <col min="9998" max="9998" width="12.7109375" bestFit="1" customWidth="1"/>
    <col min="10243" max="10243" width="14" customWidth="1"/>
    <col min="10244" max="10244" width="27.7109375" bestFit="1" customWidth="1"/>
    <col min="10245" max="10245" width="2.7109375" customWidth="1"/>
    <col min="10246" max="10246" width="14.7109375" customWidth="1"/>
    <col min="10247" max="10247" width="2.7109375" customWidth="1"/>
    <col min="10248" max="10248" width="15.42578125" customWidth="1"/>
    <col min="10249" max="10249" width="2.7109375" customWidth="1"/>
    <col min="10250" max="10250" width="13.85546875" customWidth="1"/>
    <col min="10251" max="10251" width="15.140625" customWidth="1"/>
    <col min="10252" max="10252" width="9.28515625" customWidth="1"/>
    <col min="10253" max="10253" width="7.42578125" customWidth="1"/>
    <col min="10254" max="10254" width="12.7109375" bestFit="1" customWidth="1"/>
    <col min="10499" max="10499" width="14" customWidth="1"/>
    <col min="10500" max="10500" width="27.7109375" bestFit="1" customWidth="1"/>
    <col min="10501" max="10501" width="2.7109375" customWidth="1"/>
    <col min="10502" max="10502" width="14.7109375" customWidth="1"/>
    <col min="10503" max="10503" width="2.7109375" customWidth="1"/>
    <col min="10504" max="10504" width="15.42578125" customWidth="1"/>
    <col min="10505" max="10505" width="2.7109375" customWidth="1"/>
    <col min="10506" max="10506" width="13.85546875" customWidth="1"/>
    <col min="10507" max="10507" width="15.140625" customWidth="1"/>
    <col min="10508" max="10508" width="9.28515625" customWidth="1"/>
    <col min="10509" max="10509" width="7.42578125" customWidth="1"/>
    <col min="10510" max="10510" width="12.7109375" bestFit="1" customWidth="1"/>
    <col min="10755" max="10755" width="14" customWidth="1"/>
    <col min="10756" max="10756" width="27.7109375" bestFit="1" customWidth="1"/>
    <col min="10757" max="10757" width="2.7109375" customWidth="1"/>
    <col min="10758" max="10758" width="14.7109375" customWidth="1"/>
    <col min="10759" max="10759" width="2.7109375" customWidth="1"/>
    <col min="10760" max="10760" width="15.42578125" customWidth="1"/>
    <col min="10761" max="10761" width="2.7109375" customWidth="1"/>
    <col min="10762" max="10762" width="13.85546875" customWidth="1"/>
    <col min="10763" max="10763" width="15.140625" customWidth="1"/>
    <col min="10764" max="10764" width="9.28515625" customWidth="1"/>
    <col min="10765" max="10765" width="7.42578125" customWidth="1"/>
    <col min="10766" max="10766" width="12.7109375" bestFit="1" customWidth="1"/>
    <col min="11011" max="11011" width="14" customWidth="1"/>
    <col min="11012" max="11012" width="27.7109375" bestFit="1" customWidth="1"/>
    <col min="11013" max="11013" width="2.7109375" customWidth="1"/>
    <col min="11014" max="11014" width="14.7109375" customWidth="1"/>
    <col min="11015" max="11015" width="2.7109375" customWidth="1"/>
    <col min="11016" max="11016" width="15.42578125" customWidth="1"/>
    <col min="11017" max="11017" width="2.7109375" customWidth="1"/>
    <col min="11018" max="11018" width="13.85546875" customWidth="1"/>
    <col min="11019" max="11019" width="15.140625" customWidth="1"/>
    <col min="11020" max="11020" width="9.28515625" customWidth="1"/>
    <col min="11021" max="11021" width="7.42578125" customWidth="1"/>
    <col min="11022" max="11022" width="12.7109375" bestFit="1" customWidth="1"/>
    <col min="11267" max="11267" width="14" customWidth="1"/>
    <col min="11268" max="11268" width="27.7109375" bestFit="1" customWidth="1"/>
    <col min="11269" max="11269" width="2.7109375" customWidth="1"/>
    <col min="11270" max="11270" width="14.7109375" customWidth="1"/>
    <col min="11271" max="11271" width="2.7109375" customWidth="1"/>
    <col min="11272" max="11272" width="15.42578125" customWidth="1"/>
    <col min="11273" max="11273" width="2.7109375" customWidth="1"/>
    <col min="11274" max="11274" width="13.85546875" customWidth="1"/>
    <col min="11275" max="11275" width="15.140625" customWidth="1"/>
    <col min="11276" max="11276" width="9.28515625" customWidth="1"/>
    <col min="11277" max="11277" width="7.42578125" customWidth="1"/>
    <col min="11278" max="11278" width="12.7109375" bestFit="1" customWidth="1"/>
    <col min="11523" max="11523" width="14" customWidth="1"/>
    <col min="11524" max="11524" width="27.7109375" bestFit="1" customWidth="1"/>
    <col min="11525" max="11525" width="2.7109375" customWidth="1"/>
    <col min="11526" max="11526" width="14.7109375" customWidth="1"/>
    <col min="11527" max="11527" width="2.7109375" customWidth="1"/>
    <col min="11528" max="11528" width="15.42578125" customWidth="1"/>
    <col min="11529" max="11529" width="2.7109375" customWidth="1"/>
    <col min="11530" max="11530" width="13.85546875" customWidth="1"/>
    <col min="11531" max="11531" width="15.140625" customWidth="1"/>
    <col min="11532" max="11532" width="9.28515625" customWidth="1"/>
    <col min="11533" max="11533" width="7.42578125" customWidth="1"/>
    <col min="11534" max="11534" width="12.7109375" bestFit="1" customWidth="1"/>
    <col min="11779" max="11779" width="14" customWidth="1"/>
    <col min="11780" max="11780" width="27.7109375" bestFit="1" customWidth="1"/>
    <col min="11781" max="11781" width="2.7109375" customWidth="1"/>
    <col min="11782" max="11782" width="14.7109375" customWidth="1"/>
    <col min="11783" max="11783" width="2.7109375" customWidth="1"/>
    <col min="11784" max="11784" width="15.42578125" customWidth="1"/>
    <col min="11785" max="11785" width="2.7109375" customWidth="1"/>
    <col min="11786" max="11786" width="13.85546875" customWidth="1"/>
    <col min="11787" max="11787" width="15.140625" customWidth="1"/>
    <col min="11788" max="11788" width="9.28515625" customWidth="1"/>
    <col min="11789" max="11789" width="7.42578125" customWidth="1"/>
    <col min="11790" max="11790" width="12.7109375" bestFit="1" customWidth="1"/>
    <col min="12035" max="12035" width="14" customWidth="1"/>
    <col min="12036" max="12036" width="27.7109375" bestFit="1" customWidth="1"/>
    <col min="12037" max="12037" width="2.7109375" customWidth="1"/>
    <col min="12038" max="12038" width="14.7109375" customWidth="1"/>
    <col min="12039" max="12039" width="2.7109375" customWidth="1"/>
    <col min="12040" max="12040" width="15.42578125" customWidth="1"/>
    <col min="12041" max="12041" width="2.7109375" customWidth="1"/>
    <col min="12042" max="12042" width="13.85546875" customWidth="1"/>
    <col min="12043" max="12043" width="15.140625" customWidth="1"/>
    <col min="12044" max="12044" width="9.28515625" customWidth="1"/>
    <col min="12045" max="12045" width="7.42578125" customWidth="1"/>
    <col min="12046" max="12046" width="12.7109375" bestFit="1" customWidth="1"/>
    <col min="12291" max="12291" width="14" customWidth="1"/>
    <col min="12292" max="12292" width="27.7109375" bestFit="1" customWidth="1"/>
    <col min="12293" max="12293" width="2.7109375" customWidth="1"/>
    <col min="12294" max="12294" width="14.7109375" customWidth="1"/>
    <col min="12295" max="12295" width="2.7109375" customWidth="1"/>
    <col min="12296" max="12296" width="15.42578125" customWidth="1"/>
    <col min="12297" max="12297" width="2.7109375" customWidth="1"/>
    <col min="12298" max="12298" width="13.85546875" customWidth="1"/>
    <col min="12299" max="12299" width="15.140625" customWidth="1"/>
    <col min="12300" max="12300" width="9.28515625" customWidth="1"/>
    <col min="12301" max="12301" width="7.42578125" customWidth="1"/>
    <col min="12302" max="12302" width="12.7109375" bestFit="1" customWidth="1"/>
    <col min="12547" max="12547" width="14" customWidth="1"/>
    <col min="12548" max="12548" width="27.7109375" bestFit="1" customWidth="1"/>
    <col min="12549" max="12549" width="2.7109375" customWidth="1"/>
    <col min="12550" max="12550" width="14.7109375" customWidth="1"/>
    <col min="12551" max="12551" width="2.7109375" customWidth="1"/>
    <col min="12552" max="12552" width="15.42578125" customWidth="1"/>
    <col min="12553" max="12553" width="2.7109375" customWidth="1"/>
    <col min="12554" max="12554" width="13.85546875" customWidth="1"/>
    <col min="12555" max="12555" width="15.140625" customWidth="1"/>
    <col min="12556" max="12556" width="9.28515625" customWidth="1"/>
    <col min="12557" max="12557" width="7.42578125" customWidth="1"/>
    <col min="12558" max="12558" width="12.7109375" bestFit="1" customWidth="1"/>
    <col min="12803" max="12803" width="14" customWidth="1"/>
    <col min="12804" max="12804" width="27.7109375" bestFit="1" customWidth="1"/>
    <col min="12805" max="12805" width="2.7109375" customWidth="1"/>
    <col min="12806" max="12806" width="14.7109375" customWidth="1"/>
    <col min="12807" max="12807" width="2.7109375" customWidth="1"/>
    <col min="12808" max="12808" width="15.42578125" customWidth="1"/>
    <col min="12809" max="12809" width="2.7109375" customWidth="1"/>
    <col min="12810" max="12810" width="13.85546875" customWidth="1"/>
    <col min="12811" max="12811" width="15.140625" customWidth="1"/>
    <col min="12812" max="12812" width="9.28515625" customWidth="1"/>
    <col min="12813" max="12813" width="7.42578125" customWidth="1"/>
    <col min="12814" max="12814" width="12.7109375" bestFit="1" customWidth="1"/>
    <col min="13059" max="13059" width="14" customWidth="1"/>
    <col min="13060" max="13060" width="27.7109375" bestFit="1" customWidth="1"/>
    <col min="13061" max="13061" width="2.7109375" customWidth="1"/>
    <col min="13062" max="13062" width="14.7109375" customWidth="1"/>
    <col min="13063" max="13063" width="2.7109375" customWidth="1"/>
    <col min="13064" max="13064" width="15.42578125" customWidth="1"/>
    <col min="13065" max="13065" width="2.7109375" customWidth="1"/>
    <col min="13066" max="13066" width="13.85546875" customWidth="1"/>
    <col min="13067" max="13067" width="15.140625" customWidth="1"/>
    <col min="13068" max="13068" width="9.28515625" customWidth="1"/>
    <col min="13069" max="13069" width="7.42578125" customWidth="1"/>
    <col min="13070" max="13070" width="12.7109375" bestFit="1" customWidth="1"/>
    <col min="13315" max="13315" width="14" customWidth="1"/>
    <col min="13316" max="13316" width="27.7109375" bestFit="1" customWidth="1"/>
    <col min="13317" max="13317" width="2.7109375" customWidth="1"/>
    <col min="13318" max="13318" width="14.7109375" customWidth="1"/>
    <col min="13319" max="13319" width="2.7109375" customWidth="1"/>
    <col min="13320" max="13320" width="15.42578125" customWidth="1"/>
    <col min="13321" max="13321" width="2.7109375" customWidth="1"/>
    <col min="13322" max="13322" width="13.85546875" customWidth="1"/>
    <col min="13323" max="13323" width="15.140625" customWidth="1"/>
    <col min="13324" max="13324" width="9.28515625" customWidth="1"/>
    <col min="13325" max="13325" width="7.42578125" customWidth="1"/>
    <col min="13326" max="13326" width="12.7109375" bestFit="1" customWidth="1"/>
    <col min="13571" max="13571" width="14" customWidth="1"/>
    <col min="13572" max="13572" width="27.7109375" bestFit="1" customWidth="1"/>
    <col min="13573" max="13573" width="2.7109375" customWidth="1"/>
    <col min="13574" max="13574" width="14.7109375" customWidth="1"/>
    <col min="13575" max="13575" width="2.7109375" customWidth="1"/>
    <col min="13576" max="13576" width="15.42578125" customWidth="1"/>
    <col min="13577" max="13577" width="2.7109375" customWidth="1"/>
    <col min="13578" max="13578" width="13.85546875" customWidth="1"/>
    <col min="13579" max="13579" width="15.140625" customWidth="1"/>
    <col min="13580" max="13580" width="9.28515625" customWidth="1"/>
    <col min="13581" max="13581" width="7.42578125" customWidth="1"/>
    <col min="13582" max="13582" width="12.7109375" bestFit="1" customWidth="1"/>
    <col min="13827" max="13827" width="14" customWidth="1"/>
    <col min="13828" max="13828" width="27.7109375" bestFit="1" customWidth="1"/>
    <col min="13829" max="13829" width="2.7109375" customWidth="1"/>
    <col min="13830" max="13830" width="14.7109375" customWidth="1"/>
    <col min="13831" max="13831" width="2.7109375" customWidth="1"/>
    <col min="13832" max="13832" width="15.42578125" customWidth="1"/>
    <col min="13833" max="13833" width="2.7109375" customWidth="1"/>
    <col min="13834" max="13834" width="13.85546875" customWidth="1"/>
    <col min="13835" max="13835" width="15.140625" customWidth="1"/>
    <col min="13836" max="13836" width="9.28515625" customWidth="1"/>
    <col min="13837" max="13837" width="7.42578125" customWidth="1"/>
    <col min="13838" max="13838" width="12.7109375" bestFit="1" customWidth="1"/>
    <col min="14083" max="14083" width="14" customWidth="1"/>
    <col min="14084" max="14084" width="27.7109375" bestFit="1" customWidth="1"/>
    <col min="14085" max="14085" width="2.7109375" customWidth="1"/>
    <col min="14086" max="14086" width="14.7109375" customWidth="1"/>
    <col min="14087" max="14087" width="2.7109375" customWidth="1"/>
    <col min="14088" max="14088" width="15.42578125" customWidth="1"/>
    <col min="14089" max="14089" width="2.7109375" customWidth="1"/>
    <col min="14090" max="14090" width="13.85546875" customWidth="1"/>
    <col min="14091" max="14091" width="15.140625" customWidth="1"/>
    <col min="14092" max="14092" width="9.28515625" customWidth="1"/>
    <col min="14093" max="14093" width="7.42578125" customWidth="1"/>
    <col min="14094" max="14094" width="12.7109375" bestFit="1" customWidth="1"/>
    <col min="14339" max="14339" width="14" customWidth="1"/>
    <col min="14340" max="14340" width="27.7109375" bestFit="1" customWidth="1"/>
    <col min="14341" max="14341" width="2.7109375" customWidth="1"/>
    <col min="14342" max="14342" width="14.7109375" customWidth="1"/>
    <col min="14343" max="14343" width="2.7109375" customWidth="1"/>
    <col min="14344" max="14344" width="15.42578125" customWidth="1"/>
    <col min="14345" max="14345" width="2.7109375" customWidth="1"/>
    <col min="14346" max="14346" width="13.85546875" customWidth="1"/>
    <col min="14347" max="14347" width="15.140625" customWidth="1"/>
    <col min="14348" max="14348" width="9.28515625" customWidth="1"/>
    <col min="14349" max="14349" width="7.42578125" customWidth="1"/>
    <col min="14350" max="14350" width="12.7109375" bestFit="1" customWidth="1"/>
    <col min="14595" max="14595" width="14" customWidth="1"/>
    <col min="14596" max="14596" width="27.7109375" bestFit="1" customWidth="1"/>
    <col min="14597" max="14597" width="2.7109375" customWidth="1"/>
    <col min="14598" max="14598" width="14.7109375" customWidth="1"/>
    <col min="14599" max="14599" width="2.7109375" customWidth="1"/>
    <col min="14600" max="14600" width="15.42578125" customWidth="1"/>
    <col min="14601" max="14601" width="2.7109375" customWidth="1"/>
    <col min="14602" max="14602" width="13.85546875" customWidth="1"/>
    <col min="14603" max="14603" width="15.140625" customWidth="1"/>
    <col min="14604" max="14604" width="9.28515625" customWidth="1"/>
    <col min="14605" max="14605" width="7.42578125" customWidth="1"/>
    <col min="14606" max="14606" width="12.7109375" bestFit="1" customWidth="1"/>
    <col min="14851" max="14851" width="14" customWidth="1"/>
    <col min="14852" max="14852" width="27.7109375" bestFit="1" customWidth="1"/>
    <col min="14853" max="14853" width="2.7109375" customWidth="1"/>
    <col min="14854" max="14854" width="14.7109375" customWidth="1"/>
    <col min="14855" max="14855" width="2.7109375" customWidth="1"/>
    <col min="14856" max="14856" width="15.42578125" customWidth="1"/>
    <col min="14857" max="14857" width="2.7109375" customWidth="1"/>
    <col min="14858" max="14858" width="13.85546875" customWidth="1"/>
    <col min="14859" max="14859" width="15.140625" customWidth="1"/>
    <col min="14860" max="14860" width="9.28515625" customWidth="1"/>
    <col min="14861" max="14861" width="7.42578125" customWidth="1"/>
    <col min="14862" max="14862" width="12.7109375" bestFit="1" customWidth="1"/>
    <col min="15107" max="15107" width="14" customWidth="1"/>
    <col min="15108" max="15108" width="27.7109375" bestFit="1" customWidth="1"/>
    <col min="15109" max="15109" width="2.7109375" customWidth="1"/>
    <col min="15110" max="15110" width="14.7109375" customWidth="1"/>
    <col min="15111" max="15111" width="2.7109375" customWidth="1"/>
    <col min="15112" max="15112" width="15.42578125" customWidth="1"/>
    <col min="15113" max="15113" width="2.7109375" customWidth="1"/>
    <col min="15114" max="15114" width="13.85546875" customWidth="1"/>
    <col min="15115" max="15115" width="15.140625" customWidth="1"/>
    <col min="15116" max="15116" width="9.28515625" customWidth="1"/>
    <col min="15117" max="15117" width="7.42578125" customWidth="1"/>
    <col min="15118" max="15118" width="12.7109375" bestFit="1" customWidth="1"/>
    <col min="15363" max="15363" width="14" customWidth="1"/>
    <col min="15364" max="15364" width="27.7109375" bestFit="1" customWidth="1"/>
    <col min="15365" max="15365" width="2.7109375" customWidth="1"/>
    <col min="15366" max="15366" width="14.7109375" customWidth="1"/>
    <col min="15367" max="15367" width="2.7109375" customWidth="1"/>
    <col min="15368" max="15368" width="15.42578125" customWidth="1"/>
    <col min="15369" max="15369" width="2.7109375" customWidth="1"/>
    <col min="15370" max="15370" width="13.85546875" customWidth="1"/>
    <col min="15371" max="15371" width="15.140625" customWidth="1"/>
    <col min="15372" max="15372" width="9.28515625" customWidth="1"/>
    <col min="15373" max="15373" width="7.42578125" customWidth="1"/>
    <col min="15374" max="15374" width="12.7109375" bestFit="1" customWidth="1"/>
    <col min="15619" max="15619" width="14" customWidth="1"/>
    <col min="15620" max="15620" width="27.7109375" bestFit="1" customWidth="1"/>
    <col min="15621" max="15621" width="2.7109375" customWidth="1"/>
    <col min="15622" max="15622" width="14.7109375" customWidth="1"/>
    <col min="15623" max="15623" width="2.7109375" customWidth="1"/>
    <col min="15624" max="15624" width="15.42578125" customWidth="1"/>
    <col min="15625" max="15625" width="2.7109375" customWidth="1"/>
    <col min="15626" max="15626" width="13.85546875" customWidth="1"/>
    <col min="15627" max="15627" width="15.140625" customWidth="1"/>
    <col min="15628" max="15628" width="9.28515625" customWidth="1"/>
    <col min="15629" max="15629" width="7.42578125" customWidth="1"/>
    <col min="15630" max="15630" width="12.7109375" bestFit="1" customWidth="1"/>
    <col min="15875" max="15875" width="14" customWidth="1"/>
    <col min="15876" max="15876" width="27.7109375" bestFit="1" customWidth="1"/>
    <col min="15877" max="15877" width="2.7109375" customWidth="1"/>
    <col min="15878" max="15878" width="14.7109375" customWidth="1"/>
    <col min="15879" max="15879" width="2.7109375" customWidth="1"/>
    <col min="15880" max="15880" width="15.42578125" customWidth="1"/>
    <col min="15881" max="15881" width="2.7109375" customWidth="1"/>
    <col min="15882" max="15882" width="13.85546875" customWidth="1"/>
    <col min="15883" max="15883" width="15.140625" customWidth="1"/>
    <col min="15884" max="15884" width="9.28515625" customWidth="1"/>
    <col min="15885" max="15885" width="7.42578125" customWidth="1"/>
    <col min="15886" max="15886" width="12.7109375" bestFit="1" customWidth="1"/>
    <col min="16131" max="16131" width="14" customWidth="1"/>
    <col min="16132" max="16132" width="27.7109375" bestFit="1" customWidth="1"/>
    <col min="16133" max="16133" width="2.7109375" customWidth="1"/>
    <col min="16134" max="16134" width="14.7109375" customWidth="1"/>
    <col min="16135" max="16135" width="2.7109375" customWidth="1"/>
    <col min="16136" max="16136" width="15.42578125" customWidth="1"/>
    <col min="16137" max="16137" width="2.7109375" customWidth="1"/>
    <col min="16138" max="16138" width="13.85546875" customWidth="1"/>
    <col min="16139" max="16139" width="15.140625" customWidth="1"/>
    <col min="16140" max="16140" width="9.28515625" customWidth="1"/>
    <col min="16141" max="16141" width="7.42578125" customWidth="1"/>
    <col min="16142" max="16142" width="12.7109375" bestFit="1" customWidth="1"/>
  </cols>
  <sheetData>
    <row r="1" spans="1:87" s="15" customFormat="1" ht="15.75" x14ac:dyDescent="0.25">
      <c r="A1" s="423" t="s">
        <v>89</v>
      </c>
      <c r="B1" s="423"/>
      <c r="C1" s="423"/>
      <c r="D1" s="423"/>
      <c r="E1" s="423"/>
      <c r="F1" s="423"/>
      <c r="G1" s="423"/>
      <c r="H1" s="423"/>
      <c r="I1" s="423"/>
      <c r="J1" s="423"/>
      <c r="K1" s="95"/>
      <c r="L1" s="28"/>
      <c r="M1" s="28"/>
      <c r="N1" s="6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87" s="15" customFormat="1" ht="15.75" x14ac:dyDescent="0.25">
      <c r="A2" s="423" t="s">
        <v>85</v>
      </c>
      <c r="B2" s="423"/>
      <c r="C2" s="423"/>
      <c r="D2" s="423"/>
      <c r="E2" s="423"/>
      <c r="F2" s="423"/>
      <c r="G2" s="423"/>
      <c r="H2" s="423"/>
      <c r="I2" s="423"/>
      <c r="J2" s="423"/>
      <c r="K2" s="95"/>
      <c r="L2" s="28"/>
      <c r="M2" s="28"/>
      <c r="N2" s="6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</row>
    <row r="3" spans="1:87" s="15" customFormat="1" ht="15.75" x14ac:dyDescent="0.25">
      <c r="A3" s="424" t="s">
        <v>93</v>
      </c>
      <c r="B3" s="424"/>
      <c r="C3" s="424"/>
      <c r="D3" s="424"/>
      <c r="E3" s="424"/>
      <c r="F3" s="424"/>
      <c r="G3" s="424"/>
      <c r="H3" s="424"/>
      <c r="I3" s="424"/>
      <c r="J3" s="424"/>
      <c r="K3" s="96"/>
      <c r="L3" s="28"/>
      <c r="M3" s="28"/>
      <c r="N3" s="6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87" s="16" customFormat="1" ht="18.75" x14ac:dyDescent="0.3">
      <c r="A4" s="425" t="s">
        <v>57</v>
      </c>
      <c r="B4" s="425"/>
      <c r="C4" s="425"/>
      <c r="D4" s="425"/>
      <c r="E4" s="425"/>
      <c r="F4" s="425"/>
      <c r="G4" s="425"/>
      <c r="H4" s="425"/>
      <c r="I4" s="425"/>
      <c r="J4" s="425"/>
      <c r="K4" s="97"/>
      <c r="N4" s="60"/>
    </row>
    <row r="5" spans="1:87" s="1" customFormat="1" ht="15.75" x14ac:dyDescent="0.25">
      <c r="A5" s="30"/>
      <c r="B5" s="14"/>
      <c r="C5" s="14"/>
      <c r="D5" s="14"/>
      <c r="E5" s="14"/>
      <c r="F5" s="14"/>
      <c r="G5" s="14"/>
      <c r="H5" s="29"/>
      <c r="I5" s="14"/>
      <c r="J5" s="14"/>
      <c r="K5" s="14"/>
      <c r="N5" s="61"/>
    </row>
    <row r="6" spans="1:87" s="28" customFormat="1" ht="15.75" x14ac:dyDescent="0.25">
      <c r="A6" s="30"/>
      <c r="B6" s="31"/>
      <c r="C6" s="31"/>
      <c r="D6" s="31"/>
      <c r="E6" s="31"/>
      <c r="F6" s="31"/>
      <c r="G6" s="31"/>
      <c r="H6" s="32"/>
      <c r="I6" s="31"/>
      <c r="J6" s="31"/>
      <c r="K6" s="31"/>
      <c r="N6" s="66"/>
    </row>
    <row r="7" spans="1:87" s="3" customFormat="1" ht="66.75" customHeight="1" thickBot="1" x14ac:dyDescent="0.3">
      <c r="A7" s="67"/>
      <c r="B7" s="17" t="s">
        <v>25</v>
      </c>
      <c r="C7" s="21"/>
      <c r="D7" s="58" t="s">
        <v>91</v>
      </c>
      <c r="E7" s="59"/>
      <c r="F7" s="58" t="s">
        <v>88</v>
      </c>
      <c r="G7" s="59"/>
      <c r="H7" s="58" t="s">
        <v>92</v>
      </c>
      <c r="I7" s="125" t="s">
        <v>26</v>
      </c>
      <c r="J7" s="126" t="s">
        <v>27</v>
      </c>
      <c r="K7" s="106"/>
      <c r="L7" s="1"/>
      <c r="M7" s="1"/>
      <c r="N7" s="6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25" customFormat="1" ht="9.75" customHeight="1" x14ac:dyDescent="0.25">
      <c r="A8" s="45"/>
      <c r="B8" s="45"/>
      <c r="C8" s="45"/>
      <c r="D8" s="68"/>
      <c r="E8" s="45"/>
      <c r="F8" s="45"/>
      <c r="G8" s="45"/>
      <c r="H8" s="46"/>
      <c r="I8" s="45"/>
      <c r="J8" s="47"/>
      <c r="K8" s="107"/>
      <c r="L8" s="43"/>
      <c r="M8" s="43"/>
      <c r="N8" s="69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</row>
    <row r="9" spans="1:87" s="25" customFormat="1" ht="43.5" customHeight="1" x14ac:dyDescent="0.25">
      <c r="A9" s="121" t="s">
        <v>29</v>
      </c>
      <c r="B9" s="17"/>
      <c r="C9" s="21"/>
      <c r="D9" s="20"/>
      <c r="E9" s="2"/>
      <c r="F9" s="20"/>
      <c r="G9" s="2"/>
      <c r="H9" s="20"/>
      <c r="I9" s="20"/>
      <c r="J9" s="20"/>
      <c r="K9" s="108"/>
      <c r="L9" s="43"/>
      <c r="M9" s="43"/>
      <c r="N9" s="69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</row>
    <row r="10" spans="1:87" s="25" customFormat="1" ht="15.75" x14ac:dyDescent="0.25">
      <c r="A10" s="9" t="s">
        <v>9</v>
      </c>
      <c r="B10" s="1" t="s">
        <v>5</v>
      </c>
      <c r="C10" s="7"/>
      <c r="D10" s="7">
        <v>342071.88</v>
      </c>
      <c r="E10" s="4"/>
      <c r="F10" s="91">
        <v>650000</v>
      </c>
      <c r="G10" s="4"/>
      <c r="H10" s="33">
        <v>343837.66</v>
      </c>
      <c r="I10" s="4">
        <f>+F10-H10</f>
        <v>306162.34000000003</v>
      </c>
      <c r="J10" s="70">
        <f>+H10/F10</f>
        <v>0.52898101538461539</v>
      </c>
      <c r="K10" s="70"/>
      <c r="L10" s="43"/>
      <c r="M10" s="43"/>
      <c r="N10" s="69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</row>
    <row r="11" spans="1:87" s="5" customFormat="1" ht="15.75" x14ac:dyDescent="0.25">
      <c r="A11" s="9"/>
      <c r="B11" s="1" t="s">
        <v>6</v>
      </c>
      <c r="C11" s="7"/>
      <c r="D11" s="7">
        <v>7470.64</v>
      </c>
      <c r="E11" s="4"/>
      <c r="F11" s="91">
        <v>20000</v>
      </c>
      <c r="G11" s="4"/>
      <c r="H11" s="33">
        <v>7793.42</v>
      </c>
      <c r="I11" s="4">
        <f>+F11-H11</f>
        <v>12206.58</v>
      </c>
      <c r="J11" s="70">
        <f>+H11/F11</f>
        <v>0.38967099999999999</v>
      </c>
      <c r="K11" s="70"/>
      <c r="L11" s="1"/>
      <c r="M11" s="80">
        <v>40200.879999999997</v>
      </c>
      <c r="N11" s="61">
        <v>271104.11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5" customFormat="1" ht="15.75" x14ac:dyDescent="0.25">
      <c r="A12" s="9"/>
      <c r="B12" s="1" t="s">
        <v>4</v>
      </c>
      <c r="C12" s="7"/>
      <c r="D12" s="7"/>
      <c r="E12" s="4"/>
      <c r="F12" s="91">
        <v>15000</v>
      </c>
      <c r="G12" s="4"/>
      <c r="H12" s="33"/>
      <c r="I12" s="4">
        <f>+F12-H12</f>
        <v>15000</v>
      </c>
      <c r="J12" s="70"/>
      <c r="K12" s="70"/>
      <c r="L12" s="1"/>
      <c r="M12" s="80">
        <v>244747</v>
      </c>
      <c r="N12" s="61">
        <v>172597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s="5" customFormat="1" ht="15.75" x14ac:dyDescent="0.25">
      <c r="A13" s="9"/>
      <c r="B13" s="62" t="s">
        <v>58</v>
      </c>
      <c r="C13" s="7"/>
      <c r="D13" s="7"/>
      <c r="E13" s="4"/>
      <c r="F13" s="91">
        <v>20</v>
      </c>
      <c r="G13" s="4"/>
      <c r="H13" s="33"/>
      <c r="I13" s="4">
        <v>0</v>
      </c>
      <c r="J13" s="70">
        <v>0</v>
      </c>
      <c r="K13" s="70"/>
      <c r="L13" s="1"/>
      <c r="M13" s="80"/>
      <c r="N13" s="61">
        <f>+N12-N11</f>
        <v>-98507.109999999986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5" customFormat="1" ht="16.5" thickBot="1" x14ac:dyDescent="0.3">
      <c r="A14" s="10" t="s">
        <v>30</v>
      </c>
      <c r="B14" s="11"/>
      <c r="C14" s="12"/>
      <c r="D14" s="83">
        <f>SUM(D10:D12)</f>
        <v>349542.52</v>
      </c>
      <c r="E14" s="12"/>
      <c r="F14" s="92">
        <f>SUM(F10:F13)</f>
        <v>685020</v>
      </c>
      <c r="G14" s="12"/>
      <c r="H14" s="6">
        <f>SUM(H10:H13)</f>
        <v>351631.07999999996</v>
      </c>
      <c r="I14" s="6">
        <f>SUM(I10:I12)</f>
        <v>333368.92000000004</v>
      </c>
      <c r="J14" s="71">
        <f>+H14/F14</f>
        <v>0.51331505649470077</v>
      </c>
      <c r="K14" s="70"/>
      <c r="L14" s="1"/>
      <c r="M14" s="80">
        <f>SUM(M11:M13)</f>
        <v>284947.88</v>
      </c>
      <c r="N14" s="6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11" customFormat="1" ht="15.75" x14ac:dyDescent="0.25">
      <c r="A15" s="9"/>
      <c r="B15" s="1"/>
      <c r="C15" s="7"/>
      <c r="D15" s="7"/>
      <c r="E15" s="4"/>
      <c r="F15" s="123"/>
      <c r="G15" s="4"/>
      <c r="H15" s="33"/>
      <c r="I15" s="4"/>
      <c r="J15" s="48"/>
      <c r="K15" s="48"/>
      <c r="L15" s="36"/>
      <c r="M15" s="129"/>
      <c r="N15" s="36"/>
    </row>
    <row r="16" spans="1:87" s="11" customFormat="1" ht="15.75" x14ac:dyDescent="0.25">
      <c r="A16" s="9" t="s">
        <v>12</v>
      </c>
      <c r="B16" s="62" t="s">
        <v>59</v>
      </c>
      <c r="C16" s="7"/>
      <c r="D16" s="7"/>
      <c r="E16" s="4"/>
      <c r="F16" s="91">
        <v>0</v>
      </c>
      <c r="G16" s="4"/>
      <c r="H16" s="33"/>
      <c r="I16" s="4">
        <f>+H16-F16</f>
        <v>0</v>
      </c>
      <c r="J16" s="70" t="s">
        <v>87</v>
      </c>
      <c r="K16" s="70"/>
      <c r="L16" s="36"/>
      <c r="N16" s="36"/>
    </row>
    <row r="17" spans="1:258" s="5" customFormat="1" ht="17.25" customHeight="1" x14ac:dyDescent="0.25">
      <c r="B17" s="120" t="s">
        <v>20</v>
      </c>
      <c r="C17" s="7"/>
      <c r="D17" s="7">
        <v>391498.37</v>
      </c>
      <c r="E17" s="4"/>
      <c r="F17" s="91">
        <v>719000</v>
      </c>
      <c r="G17" s="4"/>
      <c r="H17" s="33">
        <v>367446.24</v>
      </c>
      <c r="I17" s="4">
        <f>+H17-F17</f>
        <v>-351553.76</v>
      </c>
      <c r="J17" s="70">
        <f>+H17/F17</f>
        <v>0.51105179415855351</v>
      </c>
      <c r="K17" s="70"/>
      <c r="L17" s="1"/>
      <c r="M17" s="1"/>
      <c r="N17" s="6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258" s="1" customFormat="1" ht="15.75" x14ac:dyDescent="0.25">
      <c r="B18" s="1" t="s">
        <v>17</v>
      </c>
      <c r="C18" s="7"/>
      <c r="D18" s="7"/>
      <c r="E18" s="4"/>
      <c r="F18" s="91">
        <v>0</v>
      </c>
      <c r="G18" s="4"/>
      <c r="H18" s="33"/>
      <c r="I18" s="4">
        <f>+H18-F18</f>
        <v>0</v>
      </c>
      <c r="J18" s="34">
        <v>0</v>
      </c>
      <c r="K18" s="34"/>
      <c r="N18" s="61"/>
    </row>
    <row r="19" spans="1:258" s="1" customFormat="1" ht="16.5" thickBot="1" x14ac:dyDescent="0.3">
      <c r="A19" s="10" t="s">
        <v>31</v>
      </c>
      <c r="B19" s="11"/>
      <c r="C19" s="12"/>
      <c r="D19" s="83">
        <f>SUM(D16:D18)</f>
        <v>391498.37</v>
      </c>
      <c r="E19" s="12"/>
      <c r="F19" s="92">
        <f>SUM(F16:F18)</f>
        <v>719000</v>
      </c>
      <c r="G19" s="12"/>
      <c r="H19" s="26">
        <f>SUM(H16:H18)</f>
        <v>367446.24</v>
      </c>
      <c r="I19" s="6">
        <f>SUM(I16:I18)</f>
        <v>-351553.76</v>
      </c>
      <c r="J19" s="72">
        <f>+H19/F19</f>
        <v>0.51105179415855351</v>
      </c>
      <c r="K19" s="109"/>
      <c r="N19" s="61"/>
    </row>
    <row r="20" spans="1:258" s="11" customFormat="1" ht="15.75" x14ac:dyDescent="0.25">
      <c r="A20"/>
      <c r="B20"/>
      <c r="C20" s="15"/>
      <c r="D20" s="15"/>
      <c r="E20"/>
      <c r="F20" s="122"/>
      <c r="G20"/>
      <c r="H20" s="38"/>
      <c r="I20"/>
      <c r="J20" s="8"/>
      <c r="K20" s="8"/>
      <c r="L20" s="36"/>
      <c r="N20" s="36"/>
    </row>
    <row r="21" spans="1:258" s="49" customFormat="1" ht="16.5" customHeight="1" x14ac:dyDescent="0.25">
      <c r="A21" s="19" t="s">
        <v>15</v>
      </c>
      <c r="B21"/>
      <c r="C21" s="15"/>
      <c r="D21" s="84">
        <f>+D14-D19</f>
        <v>-41955.849999999977</v>
      </c>
      <c r="E21"/>
      <c r="F21" s="93">
        <f>+F14-F19</f>
        <v>-33980</v>
      </c>
      <c r="G21"/>
      <c r="H21" s="39">
        <f>+H14-H19</f>
        <v>-15815.160000000033</v>
      </c>
      <c r="I21" s="18">
        <f>+I14+I19</f>
        <v>-18184.839999999967</v>
      </c>
      <c r="J21" s="8"/>
      <c r="K21" s="8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20"/>
      <c r="EE21" s="420"/>
      <c r="EF21" s="420"/>
      <c r="EG21" s="420"/>
      <c r="EH21" s="420"/>
      <c r="EI21" s="420"/>
      <c r="EJ21" s="420"/>
      <c r="EK21" s="420"/>
      <c r="EL21" s="420"/>
      <c r="EM21" s="420"/>
      <c r="EN21" s="420"/>
      <c r="EO21" s="420"/>
      <c r="EP21" s="420"/>
      <c r="EQ21" s="420"/>
      <c r="ER21" s="420"/>
      <c r="ES21" s="420"/>
      <c r="ET21" s="420"/>
      <c r="EU21" s="420"/>
      <c r="EV21" s="420"/>
      <c r="EW21" s="420"/>
      <c r="EX21" s="420"/>
      <c r="EY21" s="420"/>
      <c r="EZ21" s="420"/>
      <c r="FA21" s="420"/>
      <c r="FB21" s="420"/>
      <c r="FC21" s="420"/>
      <c r="FD21" s="420"/>
      <c r="FE21" s="420"/>
      <c r="FF21" s="420"/>
      <c r="FG21" s="420"/>
      <c r="FH21" s="420"/>
      <c r="FI21" s="420"/>
      <c r="FJ21" s="420"/>
      <c r="FK21" s="420"/>
      <c r="FL21" s="420"/>
      <c r="FM21" s="420"/>
      <c r="FN21" s="420"/>
      <c r="FO21" s="420"/>
      <c r="FP21" s="420"/>
      <c r="FQ21" s="420"/>
      <c r="FR21" s="420"/>
      <c r="FS21" s="420"/>
      <c r="FT21" s="420"/>
      <c r="FU21" s="420"/>
      <c r="FV21" s="420"/>
      <c r="FW21" s="420"/>
      <c r="FX21" s="420"/>
      <c r="FY21" s="420"/>
      <c r="FZ21" s="420"/>
      <c r="GA21" s="420"/>
      <c r="GB21" s="420"/>
      <c r="GC21" s="420"/>
      <c r="GD21" s="420"/>
      <c r="GE21" s="420"/>
      <c r="GF21" s="420"/>
      <c r="GG21" s="420"/>
      <c r="GH21" s="420"/>
      <c r="GI21" s="420"/>
      <c r="GJ21" s="420"/>
      <c r="GK21" s="420"/>
      <c r="GL21" s="420"/>
      <c r="GM21" s="420"/>
      <c r="GN21" s="420"/>
      <c r="GO21" s="420"/>
      <c r="GP21" s="420"/>
      <c r="GQ21" s="420"/>
      <c r="GR21" s="420"/>
      <c r="GS21" s="420"/>
      <c r="GT21" s="420"/>
      <c r="GU21" s="420"/>
      <c r="GV21" s="420"/>
      <c r="GW21" s="420"/>
      <c r="GX21" s="420"/>
      <c r="GY21" s="420"/>
      <c r="GZ21" s="420"/>
      <c r="HA21" s="420"/>
      <c r="HB21" s="420"/>
      <c r="HC21" s="420"/>
      <c r="HD21" s="420"/>
      <c r="HE21" s="420"/>
      <c r="HF21" s="420"/>
      <c r="HG21" s="420"/>
      <c r="HH21" s="420"/>
      <c r="HI21" s="420"/>
      <c r="HJ21" s="420"/>
      <c r="HK21" s="420"/>
      <c r="HL21" s="420"/>
      <c r="HM21" s="420"/>
      <c r="HN21" s="420"/>
      <c r="HO21" s="420"/>
      <c r="HP21" s="420"/>
      <c r="HQ21" s="420"/>
      <c r="HR21" s="420"/>
      <c r="HS21" s="420"/>
      <c r="HT21" s="420"/>
      <c r="HU21" s="420"/>
      <c r="HV21" s="420"/>
      <c r="HW21" s="420"/>
      <c r="HX21" s="420"/>
      <c r="HY21" s="420"/>
      <c r="HZ21" s="420"/>
      <c r="IA21" s="420"/>
      <c r="IB21" s="420"/>
      <c r="IC21" s="420"/>
      <c r="ID21" s="420"/>
      <c r="IE21" s="420"/>
      <c r="IF21" s="420"/>
      <c r="IG21" s="420"/>
      <c r="IH21" s="420"/>
      <c r="II21" s="420"/>
      <c r="IJ21" s="420"/>
      <c r="IK21" s="420"/>
      <c r="IL21" s="420"/>
      <c r="IM21" s="420"/>
      <c r="IN21" s="420"/>
      <c r="IO21" s="420"/>
      <c r="IP21" s="420"/>
      <c r="IQ21" s="420"/>
      <c r="IR21" s="420"/>
      <c r="IS21" s="420"/>
      <c r="IT21" s="420"/>
      <c r="IU21" s="420"/>
      <c r="IV21" s="420"/>
      <c r="IW21" s="420"/>
      <c r="IX21" s="420"/>
    </row>
    <row r="22" spans="1:258" s="49" customFormat="1" ht="15.75" x14ac:dyDescent="0.25">
      <c r="A22" s="25"/>
      <c r="B22" s="25"/>
      <c r="C22" s="25"/>
      <c r="D22" s="25"/>
      <c r="E22" s="25"/>
      <c r="F22" s="44"/>
      <c r="G22" s="25"/>
      <c r="H22" s="44"/>
      <c r="I22" s="25"/>
      <c r="J22" s="50"/>
      <c r="K22" s="50"/>
      <c r="L22" s="65"/>
      <c r="M22" s="65"/>
      <c r="N22" s="73"/>
      <c r="O22" s="65"/>
      <c r="P22" s="65"/>
      <c r="Q22" s="99"/>
      <c r="R22" s="99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</row>
    <row r="23" spans="1:258" s="49" customFormat="1" ht="15.75" x14ac:dyDescent="0.25">
      <c r="A23" s="74" t="s">
        <v>60</v>
      </c>
      <c r="B23" s="25"/>
      <c r="C23" s="25"/>
      <c r="D23" s="85">
        <v>14951</v>
      </c>
      <c r="E23" s="75"/>
      <c r="F23" s="94">
        <f>D24</f>
        <v>47877</v>
      </c>
      <c r="G23" s="75"/>
      <c r="H23" s="76">
        <f>D24</f>
        <v>47877</v>
      </c>
      <c r="I23" s="25"/>
      <c r="J23" s="50"/>
      <c r="K23" s="50"/>
      <c r="L23" s="65"/>
      <c r="M23" s="65"/>
      <c r="N23" s="73"/>
      <c r="O23" s="65"/>
      <c r="P23" s="65"/>
      <c r="Q23" s="99"/>
      <c r="R23" s="99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</row>
    <row r="24" spans="1:258" s="49" customFormat="1" ht="15.75" x14ac:dyDescent="0.25">
      <c r="A24" s="74" t="s">
        <v>61</v>
      </c>
      <c r="B24" s="25"/>
      <c r="C24" s="25"/>
      <c r="D24" s="86">
        <v>47877</v>
      </c>
      <c r="E24" s="75"/>
      <c r="F24" s="24">
        <f>F21+F23</f>
        <v>13897</v>
      </c>
      <c r="G24" s="75"/>
      <c r="H24" s="75">
        <f>H21+H23</f>
        <v>32061.839999999967</v>
      </c>
      <c r="I24" s="25"/>
      <c r="J24" s="50"/>
      <c r="K24" s="50"/>
      <c r="L24" s="65"/>
      <c r="M24" s="65"/>
      <c r="N24" s="73"/>
      <c r="O24" s="65"/>
      <c r="P24" s="65"/>
      <c r="Q24" s="99"/>
      <c r="R24" s="99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</row>
    <row r="25" spans="1:258" s="49" customFormat="1" ht="15.75" x14ac:dyDescent="0.25">
      <c r="A25" s="25"/>
      <c r="B25" s="25"/>
      <c r="C25" s="25"/>
      <c r="D25" s="27"/>
      <c r="E25" s="25"/>
      <c r="F25" s="25"/>
      <c r="G25" s="25"/>
      <c r="H25" s="44"/>
      <c r="I25" s="25"/>
      <c r="J25" s="50"/>
      <c r="K25" s="50"/>
      <c r="L25" s="65"/>
      <c r="M25" s="65"/>
      <c r="N25" s="73"/>
      <c r="O25" s="65"/>
      <c r="P25" s="65"/>
      <c r="Q25" s="99"/>
      <c r="R25" s="99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</row>
    <row r="26" spans="1:258" s="42" customFormat="1" ht="16.5" thickBo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41"/>
      <c r="M26" s="41"/>
      <c r="N26" s="77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</row>
    <row r="27" spans="1:258" s="25" customFormat="1" x14ac:dyDescent="0.25">
      <c r="A27" s="45"/>
      <c r="B27" s="45"/>
      <c r="C27" s="45"/>
      <c r="D27" s="68"/>
      <c r="E27" s="45"/>
      <c r="F27" s="45"/>
      <c r="G27" s="45"/>
      <c r="H27" s="46"/>
      <c r="I27" s="45"/>
      <c r="J27" s="47"/>
      <c r="K27" s="107"/>
      <c r="L27" s="43"/>
      <c r="M27" s="43"/>
      <c r="N27" s="69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</row>
    <row r="28" spans="1:258" s="25" customFormat="1" ht="63" x14ac:dyDescent="0.25">
      <c r="A28" s="121" t="s">
        <v>32</v>
      </c>
      <c r="B28" s="17" t="s">
        <v>25</v>
      </c>
      <c r="C28" s="21"/>
      <c r="D28" s="58" t="str">
        <f>D7</f>
        <v xml:space="preserve">Prior Year  2015/16  Actual thru 10/31/15 </v>
      </c>
      <c r="E28" s="59"/>
      <c r="F28" s="58" t="str">
        <f>F7</f>
        <v>Current Year  Year 16/17  Budget</v>
      </c>
      <c r="G28" s="59"/>
      <c r="H28" s="58" t="str">
        <f>+H7</f>
        <v>Current Year  Year 16/17  Through 10/31/16</v>
      </c>
      <c r="I28" s="58" t="str">
        <f>I7</f>
        <v xml:space="preserve"> Budget Variance F/(U)</v>
      </c>
      <c r="J28" s="58" t="str">
        <f>J7</f>
        <v xml:space="preserve"> % Rec'd / Used</v>
      </c>
      <c r="K28" s="108"/>
      <c r="L28" s="43"/>
      <c r="M28" s="43"/>
      <c r="N28" s="69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</row>
    <row r="29" spans="1:258" s="25" customFormat="1" ht="15.75" x14ac:dyDescent="0.25">
      <c r="A29" s="9" t="s">
        <v>9</v>
      </c>
      <c r="B29" s="1" t="s">
        <v>0</v>
      </c>
      <c r="C29" s="7"/>
      <c r="D29" s="7">
        <v>72051.649999999994</v>
      </c>
      <c r="E29" s="4"/>
      <c r="F29" s="91">
        <v>149972</v>
      </c>
      <c r="G29" s="4"/>
      <c r="H29" s="33">
        <v>75605.919999999998</v>
      </c>
      <c r="I29" s="4">
        <f>+F29-H29</f>
        <v>74366.080000000002</v>
      </c>
      <c r="J29" s="70">
        <f>H29/F29</f>
        <v>0.50413357160003203</v>
      </c>
      <c r="K29" s="70"/>
      <c r="L29" s="43"/>
      <c r="M29" s="43"/>
      <c r="N29" s="69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</row>
    <row r="30" spans="1:258" s="25" customFormat="1" ht="15.75" x14ac:dyDescent="0.25">
      <c r="A30" s="9"/>
      <c r="B30" s="1" t="s">
        <v>4</v>
      </c>
      <c r="C30" s="7"/>
      <c r="D30" s="7"/>
      <c r="E30" s="4"/>
      <c r="F30" s="91"/>
      <c r="G30" s="4"/>
      <c r="H30" s="33"/>
      <c r="I30" s="4">
        <f>+F30-H30</f>
        <v>0</v>
      </c>
      <c r="J30" s="70"/>
      <c r="K30" s="70"/>
      <c r="L30" s="43"/>
      <c r="M30" s="43"/>
      <c r="N30" s="69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spans="1:258" s="5" customFormat="1" ht="15.75" x14ac:dyDescent="0.25">
      <c r="A31" s="9"/>
      <c r="B31" s="1" t="s">
        <v>7</v>
      </c>
      <c r="C31" s="7"/>
      <c r="D31" s="7"/>
      <c r="E31" s="4"/>
      <c r="F31" s="91"/>
      <c r="G31" s="4"/>
      <c r="H31" s="33"/>
      <c r="I31" s="4">
        <f>+F31-H31</f>
        <v>0</v>
      </c>
      <c r="J31" s="70"/>
      <c r="K31" s="70"/>
      <c r="L31" s="1"/>
      <c r="M31" s="1"/>
      <c r="N31" s="6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258" s="5" customFormat="1" ht="15.75" x14ac:dyDescent="0.25">
      <c r="A32" s="9"/>
      <c r="B32" s="1" t="s">
        <v>8</v>
      </c>
      <c r="C32" s="7"/>
      <c r="D32" s="7"/>
      <c r="E32" s="4"/>
      <c r="F32" s="91">
        <v>251421</v>
      </c>
      <c r="G32" s="4"/>
      <c r="H32" s="33">
        <v>0</v>
      </c>
      <c r="I32" s="4">
        <f>+F32-H32</f>
        <v>251421</v>
      </c>
      <c r="J32" s="70">
        <f t="shared" ref="J32" si="0">H32/F32</f>
        <v>0</v>
      </c>
      <c r="K32" s="70"/>
      <c r="L32" s="1"/>
      <c r="M32" s="1"/>
      <c r="N32" s="6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258" s="5" customFormat="1" ht="16.5" thickBot="1" x14ac:dyDescent="0.3">
      <c r="A33" s="10" t="s">
        <v>33</v>
      </c>
      <c r="B33" s="11"/>
      <c r="C33" s="12"/>
      <c r="D33" s="83">
        <f>SUM(D29:D32)</f>
        <v>72051.649999999994</v>
      </c>
      <c r="E33" s="12"/>
      <c r="F33" s="92">
        <f>SUM(F29:F32)</f>
        <v>401393</v>
      </c>
      <c r="G33" s="12"/>
      <c r="H33" s="6">
        <f>SUM(H29:H32)</f>
        <v>75605.919999999998</v>
      </c>
      <c r="I33" s="6">
        <f>SUM(I29:I32)</f>
        <v>325787.08</v>
      </c>
      <c r="J33" s="37">
        <f>H33/F33</f>
        <v>0.1883588403385211</v>
      </c>
      <c r="K33" s="110"/>
      <c r="L33" s="1"/>
      <c r="M33" s="1"/>
      <c r="N33" s="6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258" s="11" customFormat="1" ht="15.75" x14ac:dyDescent="0.25">
      <c r="A34" s="9"/>
      <c r="B34" s="1"/>
      <c r="C34" s="7"/>
      <c r="D34" s="7"/>
      <c r="E34" s="4"/>
      <c r="F34" s="123"/>
      <c r="G34" s="4"/>
      <c r="H34" s="33"/>
      <c r="I34" s="4"/>
      <c r="J34" s="48"/>
      <c r="K34" s="48"/>
      <c r="L34" s="36"/>
      <c r="N34" s="36"/>
    </row>
    <row r="35" spans="1:258" s="5" customFormat="1" ht="15.75" x14ac:dyDescent="0.25">
      <c r="A35" s="9" t="s">
        <v>12</v>
      </c>
      <c r="B35" s="1" t="s">
        <v>16</v>
      </c>
      <c r="C35" s="7"/>
      <c r="D35" s="7">
        <v>162215.64000000001</v>
      </c>
      <c r="E35" s="4"/>
      <c r="F35" s="91">
        <v>401393</v>
      </c>
      <c r="G35" s="4"/>
      <c r="H35" s="33">
        <v>144451.39000000001</v>
      </c>
      <c r="I35" s="4">
        <f>+H35-F35</f>
        <v>-256941.61</v>
      </c>
      <c r="J35" s="70">
        <f>H35/F35</f>
        <v>0.35987520958262853</v>
      </c>
      <c r="K35" s="70"/>
      <c r="L35" s="1"/>
      <c r="M35" s="1"/>
      <c r="N35" s="6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258" s="1" customFormat="1" ht="15.75" x14ac:dyDescent="0.25">
      <c r="B36" s="1" t="s">
        <v>7</v>
      </c>
      <c r="C36" s="7"/>
      <c r="D36" s="7"/>
      <c r="E36" s="4"/>
      <c r="F36" s="91">
        <v>0</v>
      </c>
      <c r="G36" s="4"/>
      <c r="H36" s="33"/>
      <c r="I36" s="4">
        <f>+H36-F36</f>
        <v>0</v>
      </c>
      <c r="J36" s="34">
        <v>0</v>
      </c>
      <c r="K36" s="34"/>
      <c r="N36" s="61"/>
    </row>
    <row r="37" spans="1:258" s="1" customFormat="1" ht="16.5" thickBot="1" x14ac:dyDescent="0.3">
      <c r="A37" s="10" t="s">
        <v>34</v>
      </c>
      <c r="B37" s="11"/>
      <c r="C37" s="12"/>
      <c r="D37" s="83">
        <f>SUM(D35:D36)</f>
        <v>162215.64000000001</v>
      </c>
      <c r="E37" s="12"/>
      <c r="F37" s="92">
        <f>SUM(F35:F36)</f>
        <v>401393</v>
      </c>
      <c r="G37" s="12"/>
      <c r="H37" s="26">
        <f>SUM(H35:H36)</f>
        <v>144451.39000000001</v>
      </c>
      <c r="I37" s="6">
        <f>SUM(I35:I36)</f>
        <v>-256941.61</v>
      </c>
      <c r="J37" s="37">
        <f>H37/F37</f>
        <v>0.35987520958262853</v>
      </c>
      <c r="K37" s="110"/>
      <c r="N37" s="61"/>
    </row>
    <row r="38" spans="1:258" s="11" customFormat="1" ht="15.75" x14ac:dyDescent="0.25">
      <c r="A38"/>
      <c r="B38"/>
      <c r="C38" s="15"/>
      <c r="D38" s="15"/>
      <c r="E38"/>
      <c r="F38" s="122"/>
      <c r="G38"/>
      <c r="H38" s="38"/>
      <c r="I38"/>
      <c r="J38" s="8"/>
      <c r="K38" s="8"/>
      <c r="L38" s="36"/>
      <c r="N38" s="36"/>
    </row>
    <row r="39" spans="1:258" s="42" customFormat="1" ht="15.75" customHeight="1" x14ac:dyDescent="0.25">
      <c r="A39" s="19" t="s">
        <v>15</v>
      </c>
      <c r="B39"/>
      <c r="C39" s="15"/>
      <c r="D39" s="84">
        <f>+D33-D37</f>
        <v>-90163.99000000002</v>
      </c>
      <c r="E39"/>
      <c r="F39" s="93">
        <f>+F33-F37</f>
        <v>0</v>
      </c>
      <c r="G39"/>
      <c r="H39" s="39">
        <f>+H33-H37</f>
        <v>-68845.470000000016</v>
      </c>
      <c r="I39" s="18">
        <f>+I33+I37</f>
        <v>68845.47000000003</v>
      </c>
      <c r="J39" s="8"/>
      <c r="K39" s="8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0"/>
      <c r="BR39" s="420"/>
      <c r="BS39" s="420"/>
      <c r="BT39" s="420"/>
      <c r="BU39" s="420"/>
      <c r="BV39" s="420"/>
      <c r="BW39" s="420"/>
      <c r="BX39" s="420"/>
      <c r="BY39" s="420"/>
      <c r="BZ39" s="420"/>
      <c r="CA39" s="420"/>
      <c r="CB39" s="420"/>
      <c r="CC39" s="420"/>
      <c r="CD39" s="420"/>
      <c r="CE39" s="420"/>
      <c r="CF39" s="420"/>
      <c r="CG39" s="420"/>
      <c r="CH39" s="420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0"/>
      <c r="DG39" s="420"/>
      <c r="DH39" s="420"/>
      <c r="DI39" s="420"/>
      <c r="DJ39" s="420"/>
      <c r="DK39" s="420"/>
      <c r="DL39" s="420"/>
      <c r="DM39" s="420"/>
      <c r="DN39" s="420"/>
      <c r="DO39" s="420"/>
      <c r="DP39" s="420"/>
      <c r="DQ39" s="420"/>
      <c r="DR39" s="420"/>
      <c r="DS39" s="420"/>
      <c r="DT39" s="420"/>
      <c r="DU39" s="420"/>
      <c r="DV39" s="420"/>
      <c r="DW39" s="420"/>
      <c r="DX39" s="420"/>
      <c r="DY39" s="420"/>
      <c r="DZ39" s="420"/>
      <c r="EA39" s="420"/>
      <c r="EB39" s="420"/>
      <c r="EC39" s="420"/>
      <c r="ED39" s="420"/>
      <c r="EE39" s="420"/>
      <c r="EF39" s="420"/>
      <c r="EG39" s="420"/>
      <c r="EH39" s="420"/>
      <c r="EI39" s="420"/>
      <c r="EJ39" s="420"/>
      <c r="EK39" s="420"/>
      <c r="EL39" s="420"/>
      <c r="EM39" s="420"/>
      <c r="EN39" s="420"/>
      <c r="EO39" s="420"/>
      <c r="EP39" s="420"/>
      <c r="EQ39" s="420"/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0"/>
      <c r="FC39" s="420"/>
      <c r="FD39" s="420"/>
      <c r="FE39" s="420"/>
      <c r="FF39" s="420"/>
      <c r="FG39" s="420"/>
      <c r="FH39" s="420"/>
      <c r="FI39" s="420"/>
      <c r="FJ39" s="420"/>
      <c r="FK39" s="420"/>
      <c r="FL39" s="420"/>
      <c r="FM39" s="420"/>
      <c r="FN39" s="420"/>
      <c r="FO39" s="420"/>
      <c r="FP39" s="420"/>
      <c r="FQ39" s="420"/>
      <c r="FR39" s="420"/>
      <c r="FS39" s="420"/>
      <c r="FT39" s="420"/>
      <c r="FU39" s="420"/>
      <c r="FV39" s="420"/>
      <c r="FW39" s="420"/>
      <c r="FX39" s="420"/>
      <c r="FY39" s="420"/>
      <c r="FZ39" s="420"/>
      <c r="GA39" s="420"/>
      <c r="GB39" s="420"/>
      <c r="GC39" s="420"/>
      <c r="GD39" s="420"/>
      <c r="GE39" s="420"/>
      <c r="GF39" s="420"/>
      <c r="GG39" s="420"/>
      <c r="GH39" s="420"/>
      <c r="GI39" s="420"/>
      <c r="GJ39" s="420"/>
      <c r="GK39" s="420"/>
      <c r="GL39" s="420"/>
      <c r="GM39" s="420"/>
      <c r="GN39" s="420"/>
      <c r="GO39" s="420"/>
      <c r="GP39" s="420"/>
      <c r="GQ39" s="420"/>
      <c r="GR39" s="420"/>
      <c r="GS39" s="420"/>
      <c r="GT39" s="420"/>
      <c r="GU39" s="420"/>
      <c r="GV39" s="420"/>
      <c r="GW39" s="420"/>
      <c r="GX39" s="420"/>
      <c r="GY39" s="420"/>
      <c r="GZ39" s="420"/>
      <c r="HA39" s="420"/>
      <c r="HB39" s="420"/>
      <c r="HC39" s="420"/>
      <c r="HD39" s="420"/>
      <c r="HE39" s="420"/>
      <c r="HF39" s="420"/>
      <c r="HG39" s="420"/>
      <c r="HH39" s="420"/>
      <c r="HI39" s="420"/>
      <c r="HJ39" s="420"/>
      <c r="HK39" s="420"/>
      <c r="HL39" s="420"/>
      <c r="HM39" s="420"/>
      <c r="HN39" s="420"/>
      <c r="HO39" s="420"/>
      <c r="HP39" s="420"/>
      <c r="HQ39" s="420"/>
      <c r="HR39" s="420"/>
      <c r="HS39" s="420"/>
      <c r="HT39" s="420"/>
      <c r="HU39" s="420"/>
      <c r="HV39" s="420"/>
      <c r="HW39" s="420"/>
      <c r="HX39" s="420"/>
      <c r="HY39" s="420"/>
      <c r="HZ39" s="420"/>
      <c r="IA39" s="420"/>
      <c r="IB39" s="420"/>
      <c r="IC39" s="420"/>
      <c r="ID39" s="420"/>
      <c r="IE39" s="420"/>
      <c r="IF39" s="420"/>
      <c r="IG39" s="420"/>
      <c r="IH39" s="420"/>
      <c r="II39" s="420"/>
      <c r="IJ39" s="420"/>
      <c r="IK39" s="420"/>
      <c r="IL39" s="420"/>
      <c r="IM39" s="420"/>
      <c r="IN39" s="420"/>
      <c r="IO39" s="420"/>
      <c r="IP39" s="420"/>
      <c r="IQ39" s="420"/>
      <c r="IR39" s="420"/>
      <c r="IS39" s="420"/>
      <c r="IT39" s="420"/>
      <c r="IU39" s="420"/>
      <c r="IV39" s="420"/>
      <c r="IW39" s="420"/>
      <c r="IX39" s="420"/>
    </row>
    <row r="40" spans="1:258" s="42" customFormat="1" ht="15.75" x14ac:dyDescent="0.25">
      <c r="A40" s="25"/>
      <c r="B40" s="25"/>
      <c r="C40" s="25"/>
      <c r="D40" s="25"/>
      <c r="E40" s="25"/>
      <c r="F40" s="44"/>
      <c r="G40" s="25"/>
      <c r="H40" s="44"/>
      <c r="I40" s="25"/>
      <c r="J40" s="50"/>
      <c r="K40" s="50"/>
      <c r="L40" s="65"/>
      <c r="M40" s="65"/>
      <c r="N40" s="73"/>
      <c r="O40" s="65"/>
      <c r="P40" s="65"/>
      <c r="Q40" s="99"/>
      <c r="R40" s="99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</row>
    <row r="41" spans="1:258" s="49" customFormat="1" ht="15.75" x14ac:dyDescent="0.25">
      <c r="A41" s="74" t="s">
        <v>60</v>
      </c>
      <c r="B41" s="25"/>
      <c r="C41" s="25"/>
      <c r="D41" s="85">
        <v>145564</v>
      </c>
      <c r="E41" s="75"/>
      <c r="F41" s="94">
        <f>D42</f>
        <v>-44604</v>
      </c>
      <c r="G41" s="75"/>
      <c r="H41" s="76">
        <f>D42</f>
        <v>-44604</v>
      </c>
      <c r="I41" s="25"/>
      <c r="J41" s="50"/>
      <c r="K41" s="50"/>
      <c r="L41" s="65"/>
      <c r="M41" s="65"/>
      <c r="N41" s="73"/>
      <c r="O41" s="65"/>
      <c r="P41" s="65"/>
      <c r="Q41" s="99"/>
      <c r="R41" s="99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</row>
    <row r="42" spans="1:258" s="49" customFormat="1" ht="15.75" x14ac:dyDescent="0.25">
      <c r="A42" s="74" t="s">
        <v>61</v>
      </c>
      <c r="B42" s="25"/>
      <c r="C42" s="25"/>
      <c r="D42" s="86">
        <v>-44604</v>
      </c>
      <c r="E42" s="75"/>
      <c r="F42" s="24">
        <f>F39+F41</f>
        <v>-44604</v>
      </c>
      <c r="G42" s="75"/>
      <c r="H42" s="75">
        <f>H39+H41</f>
        <v>-113449.47000000002</v>
      </c>
      <c r="I42" s="25"/>
      <c r="J42" s="50"/>
      <c r="K42" s="50"/>
      <c r="L42" s="65"/>
      <c r="M42" s="65"/>
      <c r="N42" s="73"/>
      <c r="O42" s="65"/>
      <c r="P42" s="65"/>
      <c r="Q42" s="99"/>
      <c r="R42" s="99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</row>
    <row r="43" spans="1:258" s="42" customFormat="1" ht="15.75" x14ac:dyDescent="0.25">
      <c r="A43" s="25"/>
      <c r="B43" s="25"/>
      <c r="C43" s="25"/>
      <c r="D43" s="27"/>
      <c r="E43" s="25"/>
      <c r="F43" s="25"/>
      <c r="G43" s="25"/>
      <c r="H43" s="44"/>
      <c r="I43" s="25"/>
      <c r="J43" s="50"/>
      <c r="K43" s="50"/>
      <c r="L43" s="65"/>
      <c r="M43" s="65"/>
      <c r="N43" s="73"/>
      <c r="O43" s="65"/>
      <c r="P43" s="65"/>
      <c r="Q43" s="99"/>
      <c r="R43" s="99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</row>
    <row r="44" spans="1:258" s="42" customFormat="1" ht="15.75" x14ac:dyDescent="0.25">
      <c r="A44" s="25"/>
      <c r="B44" s="25"/>
      <c r="C44" s="25"/>
      <c r="D44" s="27"/>
      <c r="E44" s="25"/>
      <c r="F44" s="25"/>
      <c r="G44" s="25"/>
      <c r="H44" s="44"/>
      <c r="I44" s="25"/>
      <c r="J44" s="50"/>
      <c r="K44" s="50"/>
      <c r="L44" s="65"/>
      <c r="M44" s="65"/>
      <c r="N44" s="73"/>
      <c r="O44" s="65"/>
      <c r="P44" s="65"/>
      <c r="Q44" s="99"/>
      <c r="R44" s="99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</row>
    <row r="45" spans="1:258" s="42" customFormat="1" ht="15.75" x14ac:dyDescent="0.25">
      <c r="A45" s="25"/>
      <c r="B45" s="25"/>
      <c r="C45" s="25"/>
      <c r="D45" s="27"/>
      <c r="E45" s="25"/>
      <c r="F45" s="25"/>
      <c r="G45" s="25"/>
      <c r="H45" s="44"/>
      <c r="I45" s="25"/>
      <c r="J45" s="50"/>
      <c r="K45" s="50"/>
      <c r="L45" s="65"/>
      <c r="M45" s="65"/>
      <c r="N45" s="73"/>
      <c r="O45" s="65"/>
      <c r="P45" s="65"/>
      <c r="Q45" s="99"/>
      <c r="R45" s="99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</row>
    <row r="46" spans="1:258" s="42" customFormat="1" ht="15.75" x14ac:dyDescent="0.25">
      <c r="A46" s="25"/>
      <c r="B46" s="25"/>
      <c r="C46" s="25"/>
      <c r="D46" s="27"/>
      <c r="E46" s="25"/>
      <c r="F46" s="25"/>
      <c r="G46" s="25"/>
      <c r="H46" s="44"/>
      <c r="I46" s="25"/>
      <c r="J46" s="50"/>
      <c r="K46" s="50"/>
      <c r="L46" s="65"/>
      <c r="M46" s="65"/>
      <c r="N46" s="73"/>
      <c r="O46" s="65"/>
      <c r="P46" s="65"/>
      <c r="Q46" s="99"/>
      <c r="R46" s="99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</row>
    <row r="47" spans="1:258" s="25" customFormat="1" ht="16.5" thickBot="1" x14ac:dyDescent="0.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43"/>
      <c r="M47" s="43"/>
      <c r="N47" s="69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</row>
    <row r="48" spans="1:258" s="25" customFormat="1" x14ac:dyDescent="0.25">
      <c r="A48" s="45"/>
      <c r="B48" s="45"/>
      <c r="C48" s="45"/>
      <c r="D48" s="68"/>
      <c r="E48" s="45"/>
      <c r="F48" s="45"/>
      <c r="G48" s="45"/>
      <c r="H48" s="46"/>
      <c r="I48" s="45"/>
      <c r="J48" s="47"/>
      <c r="K48" s="107"/>
      <c r="L48" s="43"/>
      <c r="M48" s="43"/>
      <c r="N48" s="6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</row>
    <row r="49" spans="1:258" s="25" customFormat="1" ht="63" x14ac:dyDescent="0.25">
      <c r="A49" s="121" t="s">
        <v>35</v>
      </c>
      <c r="B49" s="17" t="s">
        <v>25</v>
      </c>
      <c r="C49" s="21"/>
      <c r="D49" s="58" t="str">
        <f>D7</f>
        <v xml:space="preserve">Prior Year  2015/16  Actual thru 10/31/15 </v>
      </c>
      <c r="E49" s="59"/>
      <c r="F49" s="58" t="str">
        <f>F7</f>
        <v>Current Year  Year 16/17  Budget</v>
      </c>
      <c r="G49" s="59"/>
      <c r="H49" s="58" t="str">
        <f>+H28</f>
        <v>Current Year  Year 16/17  Through 10/31/16</v>
      </c>
      <c r="I49" s="58" t="str">
        <f>I7</f>
        <v xml:space="preserve"> Budget Variance F/(U)</v>
      </c>
      <c r="J49" s="58" t="str">
        <f>J7</f>
        <v xml:space="preserve"> % Rec'd / Used</v>
      </c>
      <c r="K49" s="108"/>
      <c r="L49" s="43"/>
      <c r="M49" s="43"/>
      <c r="N49" s="69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</row>
    <row r="50" spans="1:258" s="25" customFormat="1" ht="15.75" x14ac:dyDescent="0.25">
      <c r="A50" s="9" t="s">
        <v>9</v>
      </c>
      <c r="B50" s="1" t="s">
        <v>2</v>
      </c>
      <c r="C50" s="7"/>
      <c r="D50" s="7">
        <v>47012.51</v>
      </c>
      <c r="E50" s="4"/>
      <c r="F50" s="91">
        <v>240000</v>
      </c>
      <c r="G50" s="4"/>
      <c r="H50" s="33">
        <v>97879.79</v>
      </c>
      <c r="I50" s="4">
        <f>+F50-H50</f>
        <v>142120.21000000002</v>
      </c>
      <c r="J50" s="70">
        <f t="shared" ref="J50" si="1">H50/F50</f>
        <v>0.40783245833333331</v>
      </c>
      <c r="K50" s="70"/>
      <c r="L50" s="43"/>
      <c r="M50" s="43"/>
      <c r="N50" s="6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</row>
    <row r="51" spans="1:258" s="25" customFormat="1" ht="15.75" x14ac:dyDescent="0.25">
      <c r="A51" s="9"/>
      <c r="B51" s="1" t="s">
        <v>4</v>
      </c>
      <c r="C51" s="7"/>
      <c r="D51" s="7">
        <v>659.15</v>
      </c>
      <c r="E51" s="4"/>
      <c r="F51" s="91">
        <v>0</v>
      </c>
      <c r="G51" s="4"/>
      <c r="H51" s="33">
        <v>743.95</v>
      </c>
      <c r="I51" s="4">
        <f>+F51-H51</f>
        <v>-743.95</v>
      </c>
      <c r="J51" s="70"/>
      <c r="K51" s="70"/>
      <c r="L51" s="43"/>
      <c r="M51" s="43"/>
      <c r="N51" s="69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</row>
    <row r="52" spans="1:258" s="25" customFormat="1" ht="15.75" x14ac:dyDescent="0.25">
      <c r="A52" s="9"/>
      <c r="B52" s="1" t="s">
        <v>7</v>
      </c>
      <c r="C52" s="7"/>
      <c r="D52" s="7"/>
      <c r="E52" s="4"/>
      <c r="F52" s="91">
        <v>0</v>
      </c>
      <c r="G52" s="4"/>
      <c r="H52" s="33"/>
      <c r="I52" s="4">
        <f>+F52-H52</f>
        <v>0</v>
      </c>
      <c r="J52" s="70"/>
      <c r="K52" s="70"/>
      <c r="L52" s="43"/>
      <c r="M52" s="43"/>
      <c r="N52" s="69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</row>
    <row r="53" spans="1:258" s="25" customFormat="1" ht="16.5" thickBot="1" x14ac:dyDescent="0.3">
      <c r="A53" s="10" t="s">
        <v>36</v>
      </c>
      <c r="B53" s="11"/>
      <c r="C53" s="12"/>
      <c r="D53" s="83">
        <f>SUM(D50:D52)</f>
        <v>47671.66</v>
      </c>
      <c r="E53" s="12"/>
      <c r="F53" s="92">
        <f>SUM(F50:F52)</f>
        <v>240000</v>
      </c>
      <c r="G53" s="12"/>
      <c r="H53" s="6">
        <f>SUM(H50:H52)</f>
        <v>98623.739999999991</v>
      </c>
      <c r="I53" s="6">
        <f>SUM(I50:I52)</f>
        <v>141376.26</v>
      </c>
      <c r="J53" s="37">
        <f>+F53/H53</f>
        <v>2.4334911655145102</v>
      </c>
      <c r="K53" s="110"/>
      <c r="L53" s="43"/>
      <c r="M53" s="43"/>
      <c r="N53" s="69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</row>
    <row r="54" spans="1:258" s="25" customFormat="1" ht="15.75" x14ac:dyDescent="0.25">
      <c r="A54" s="9"/>
      <c r="B54" s="1"/>
      <c r="C54" s="7"/>
      <c r="D54" s="7"/>
      <c r="E54" s="4"/>
      <c r="F54" s="123"/>
      <c r="G54" s="4"/>
      <c r="H54" s="33"/>
      <c r="I54" s="4"/>
      <c r="J54" s="48"/>
      <c r="K54" s="48"/>
      <c r="L54" s="43"/>
      <c r="M54" s="43"/>
      <c r="N54" s="69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</row>
    <row r="55" spans="1:258" s="25" customFormat="1" ht="15.75" x14ac:dyDescent="0.25">
      <c r="A55" s="9" t="s">
        <v>12</v>
      </c>
      <c r="B55" s="1" t="s">
        <v>28</v>
      </c>
      <c r="C55" s="7"/>
      <c r="D55" s="7">
        <v>4912.79</v>
      </c>
      <c r="E55" s="4"/>
      <c r="F55" s="91">
        <v>0</v>
      </c>
      <c r="G55" s="4"/>
      <c r="H55" s="33">
        <v>0</v>
      </c>
      <c r="I55" s="4">
        <f>+H55-F55</f>
        <v>0</v>
      </c>
      <c r="J55" s="70"/>
      <c r="K55" s="70"/>
      <c r="L55" s="43"/>
      <c r="M55" s="43"/>
      <c r="N55" s="69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</row>
    <row r="56" spans="1:258" s="25" customFormat="1" ht="15.75" x14ac:dyDescent="0.25">
      <c r="A56" s="9"/>
      <c r="B56" s="1" t="s">
        <v>18</v>
      </c>
      <c r="C56" s="7"/>
      <c r="D56" s="7">
        <v>0</v>
      </c>
      <c r="E56" s="4"/>
      <c r="F56" s="91">
        <v>0</v>
      </c>
      <c r="G56" s="4"/>
      <c r="H56" s="33">
        <v>0</v>
      </c>
      <c r="I56" s="4">
        <f>+H56-F56</f>
        <v>0</v>
      </c>
      <c r="J56" s="70"/>
      <c r="K56" s="70"/>
      <c r="L56" s="43"/>
      <c r="M56" s="43"/>
      <c r="N56" s="69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</row>
    <row r="57" spans="1:258" s="25" customFormat="1" ht="15.75" x14ac:dyDescent="0.25">
      <c r="A57" s="1"/>
      <c r="B57" s="1" t="s">
        <v>62</v>
      </c>
      <c r="C57" s="7"/>
      <c r="D57" s="7">
        <v>0</v>
      </c>
      <c r="E57" s="4"/>
      <c r="F57" s="91">
        <v>501000</v>
      </c>
      <c r="G57" s="4"/>
      <c r="H57" s="33">
        <v>0</v>
      </c>
      <c r="I57" s="4">
        <f>+H57-F57</f>
        <v>-501000</v>
      </c>
      <c r="J57" s="70">
        <f t="shared" ref="J57" si="2">H57/F57</f>
        <v>0</v>
      </c>
      <c r="K57" s="70"/>
      <c r="L57" s="43"/>
      <c r="M57" s="43"/>
      <c r="N57" s="69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</row>
    <row r="58" spans="1:258" s="25" customFormat="1" ht="16.5" thickBot="1" x14ac:dyDescent="0.3">
      <c r="A58" s="10" t="s">
        <v>37</v>
      </c>
      <c r="B58" s="11"/>
      <c r="C58" s="12"/>
      <c r="D58" s="83">
        <f>SUM(D55:D57)</f>
        <v>4912.79</v>
      </c>
      <c r="E58" s="12"/>
      <c r="F58" s="92">
        <f>SUM(F55:F57)</f>
        <v>501000</v>
      </c>
      <c r="G58" s="12"/>
      <c r="H58" s="26">
        <f>SUM(H55:H57)</f>
        <v>0</v>
      </c>
      <c r="I58" s="6">
        <f>SUM(I55:I57)</f>
        <v>-501000</v>
      </c>
      <c r="J58" s="37">
        <f>+H58/F58</f>
        <v>0</v>
      </c>
      <c r="K58" s="110"/>
      <c r="L58" s="43"/>
      <c r="M58" s="43"/>
      <c r="N58" s="69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</row>
    <row r="59" spans="1:258" s="25" customFormat="1" ht="15.75" x14ac:dyDescent="0.25">
      <c r="A59"/>
      <c r="B59"/>
      <c r="C59" s="15"/>
      <c r="D59" s="15"/>
      <c r="E59"/>
      <c r="F59" s="122"/>
      <c r="G59"/>
      <c r="H59" s="38"/>
      <c r="I59"/>
      <c r="J59" s="8"/>
      <c r="K59" s="8"/>
      <c r="L59" s="43"/>
      <c r="M59" s="43"/>
      <c r="N59" s="69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</row>
    <row r="60" spans="1:258" s="49" customFormat="1" ht="15.75" customHeight="1" x14ac:dyDescent="0.25">
      <c r="A60" s="19" t="s">
        <v>15</v>
      </c>
      <c r="B60"/>
      <c r="C60" s="15"/>
      <c r="D60" s="84">
        <f>+D53-D58</f>
        <v>42758.87</v>
      </c>
      <c r="E60"/>
      <c r="F60" s="93">
        <f>+F53-F58</f>
        <v>-261000</v>
      </c>
      <c r="G60"/>
      <c r="H60" s="39">
        <f>+H53-H58</f>
        <v>98623.739999999991</v>
      </c>
      <c r="I60" s="18">
        <f>+I53+I58</f>
        <v>-359623.74</v>
      </c>
      <c r="J60" s="8"/>
      <c r="K60" s="8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0"/>
      <c r="DO60" s="420"/>
      <c r="DP60" s="420"/>
      <c r="DQ60" s="420"/>
      <c r="DR60" s="420"/>
      <c r="DS60" s="420"/>
      <c r="DT60" s="420"/>
      <c r="DU60" s="420"/>
      <c r="DV60" s="420"/>
      <c r="DW60" s="420"/>
      <c r="DX60" s="420"/>
      <c r="DY60" s="420"/>
      <c r="DZ60" s="420"/>
      <c r="EA60" s="420"/>
      <c r="EB60" s="420"/>
      <c r="EC60" s="420"/>
      <c r="ED60" s="420"/>
      <c r="EE60" s="420"/>
      <c r="EF60" s="420"/>
      <c r="EG60" s="420"/>
      <c r="EH60" s="420"/>
      <c r="EI60" s="420"/>
      <c r="EJ60" s="420"/>
      <c r="EK60" s="420"/>
      <c r="EL60" s="420"/>
      <c r="EM60" s="420"/>
      <c r="EN60" s="420"/>
      <c r="EO60" s="420"/>
      <c r="EP60" s="420"/>
      <c r="EQ60" s="420"/>
      <c r="ER60" s="420"/>
      <c r="ES60" s="420"/>
      <c r="ET60" s="420"/>
      <c r="EU60" s="420"/>
      <c r="EV60" s="420"/>
      <c r="EW60" s="420"/>
      <c r="EX60" s="420"/>
      <c r="EY60" s="420"/>
      <c r="EZ60" s="420"/>
      <c r="FA60" s="420"/>
      <c r="FB60" s="420"/>
      <c r="FC60" s="420"/>
      <c r="FD60" s="420"/>
      <c r="FE60" s="420"/>
      <c r="FF60" s="420"/>
      <c r="FG60" s="420"/>
      <c r="FH60" s="420"/>
      <c r="FI60" s="420"/>
      <c r="FJ60" s="420"/>
      <c r="FK60" s="420"/>
      <c r="FL60" s="420"/>
      <c r="FM60" s="420"/>
      <c r="FN60" s="420"/>
      <c r="FO60" s="420"/>
      <c r="FP60" s="420"/>
      <c r="FQ60" s="420"/>
      <c r="FR60" s="420"/>
      <c r="FS60" s="420"/>
      <c r="FT60" s="420"/>
      <c r="FU60" s="420"/>
      <c r="FV60" s="420"/>
      <c r="FW60" s="420"/>
      <c r="FX60" s="420"/>
      <c r="FY60" s="420"/>
      <c r="FZ60" s="420"/>
      <c r="GA60" s="420"/>
      <c r="GB60" s="420"/>
      <c r="GC60" s="420"/>
      <c r="GD60" s="420"/>
      <c r="GE60" s="420"/>
      <c r="GF60" s="420"/>
      <c r="GG60" s="420"/>
      <c r="GH60" s="420"/>
      <c r="GI60" s="420"/>
      <c r="GJ60" s="420"/>
      <c r="GK60" s="420"/>
      <c r="GL60" s="420"/>
      <c r="GM60" s="420"/>
      <c r="GN60" s="420"/>
      <c r="GO60" s="420"/>
      <c r="GP60" s="420"/>
      <c r="GQ60" s="420"/>
      <c r="GR60" s="420"/>
      <c r="GS60" s="420"/>
      <c r="GT60" s="420"/>
      <c r="GU60" s="420"/>
      <c r="GV60" s="420"/>
      <c r="GW60" s="420"/>
      <c r="GX60" s="420"/>
      <c r="GY60" s="420"/>
      <c r="GZ60" s="420"/>
      <c r="HA60" s="420"/>
      <c r="HB60" s="420"/>
      <c r="HC60" s="420"/>
      <c r="HD60" s="420"/>
      <c r="HE60" s="420"/>
      <c r="HF60" s="420"/>
      <c r="HG60" s="420"/>
      <c r="HH60" s="420"/>
      <c r="HI60" s="420"/>
      <c r="HJ60" s="420"/>
      <c r="HK60" s="420"/>
      <c r="HL60" s="420"/>
      <c r="HM60" s="420"/>
      <c r="HN60" s="420"/>
      <c r="HO60" s="420"/>
      <c r="HP60" s="420"/>
      <c r="HQ60" s="420"/>
      <c r="HR60" s="420"/>
      <c r="HS60" s="420"/>
      <c r="HT60" s="420"/>
      <c r="HU60" s="420"/>
      <c r="HV60" s="420"/>
      <c r="HW60" s="420"/>
      <c r="HX60" s="420"/>
      <c r="HY60" s="420"/>
      <c r="HZ60" s="420"/>
      <c r="IA60" s="420"/>
      <c r="IB60" s="420"/>
      <c r="IC60" s="420"/>
      <c r="ID60" s="420"/>
      <c r="IE60" s="420"/>
      <c r="IF60" s="420"/>
      <c r="IG60" s="420"/>
      <c r="IH60" s="420"/>
      <c r="II60" s="420"/>
      <c r="IJ60" s="420"/>
      <c r="IK60" s="420"/>
      <c r="IL60" s="420"/>
      <c r="IM60" s="420"/>
      <c r="IN60" s="420"/>
      <c r="IO60" s="420"/>
      <c r="IP60" s="420"/>
      <c r="IQ60" s="420"/>
      <c r="IR60" s="420"/>
      <c r="IS60" s="420"/>
      <c r="IT60" s="420"/>
      <c r="IU60" s="420"/>
      <c r="IV60" s="420"/>
      <c r="IW60" s="420"/>
      <c r="IX60" s="420"/>
    </row>
    <row r="61" spans="1:258" s="49" customFormat="1" ht="15.75" x14ac:dyDescent="0.25">
      <c r="A61" s="19"/>
      <c r="B61"/>
      <c r="C61" s="15"/>
      <c r="D61" s="84"/>
      <c r="E61"/>
      <c r="F61" s="124"/>
      <c r="G61"/>
      <c r="H61" s="39"/>
      <c r="I61" s="18"/>
      <c r="J61" s="8"/>
      <c r="K61" s="8"/>
      <c r="L61" s="65"/>
      <c r="M61" s="65"/>
      <c r="N61" s="73"/>
      <c r="O61" s="65"/>
      <c r="P61" s="65"/>
      <c r="Q61" s="99"/>
      <c r="R61" s="99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  <c r="IW61" s="63"/>
      <c r="IX61" s="63"/>
    </row>
    <row r="62" spans="1:258" s="49" customFormat="1" ht="15.75" x14ac:dyDescent="0.25">
      <c r="A62" s="74" t="s">
        <v>60</v>
      </c>
      <c r="B62" s="25"/>
      <c r="C62" s="25"/>
      <c r="D62" s="85">
        <v>1466836</v>
      </c>
      <c r="E62" s="75"/>
      <c r="F62" s="94">
        <f>D63</f>
        <v>1580289</v>
      </c>
      <c r="G62" s="75"/>
      <c r="H62" s="76">
        <f>D63</f>
        <v>1580289</v>
      </c>
      <c r="I62" s="25"/>
      <c r="J62" s="50"/>
      <c r="K62" s="50"/>
      <c r="L62" s="65"/>
      <c r="M62" s="65"/>
      <c r="N62" s="73"/>
      <c r="O62" s="65"/>
      <c r="P62" s="65"/>
      <c r="Q62" s="99"/>
      <c r="R62" s="99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  <c r="IW62" s="63"/>
      <c r="IX62" s="63"/>
    </row>
    <row r="63" spans="1:258" s="49" customFormat="1" ht="15.75" x14ac:dyDescent="0.25">
      <c r="A63" s="74" t="s">
        <v>61</v>
      </c>
      <c r="B63" s="25"/>
      <c r="C63" s="25"/>
      <c r="D63" s="86">
        <v>1580289</v>
      </c>
      <c r="E63" s="75"/>
      <c r="F63" s="24">
        <f>F60+F62</f>
        <v>1319289</v>
      </c>
      <c r="G63" s="75"/>
      <c r="H63" s="75">
        <f>H60+H62</f>
        <v>1678912.74</v>
      </c>
      <c r="I63" s="25"/>
      <c r="J63" s="50"/>
      <c r="K63" s="50"/>
      <c r="L63" s="65"/>
      <c r="M63" s="65"/>
      <c r="N63" s="73"/>
      <c r="O63" s="65"/>
      <c r="P63" s="65"/>
      <c r="Q63" s="99"/>
      <c r="R63" s="99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  <c r="IW63" s="63"/>
      <c r="IX63" s="63"/>
    </row>
    <row r="64" spans="1:258" s="25" customFormat="1" ht="15.75" thickBot="1" x14ac:dyDescent="0.3">
      <c r="D64" s="27"/>
      <c r="H64" s="44"/>
      <c r="J64" s="50"/>
      <c r="K64" s="50"/>
      <c r="L64" s="43"/>
      <c r="M64" s="43"/>
      <c r="N64" s="69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</row>
    <row r="65" spans="1:258" s="25" customFormat="1" x14ac:dyDescent="0.25">
      <c r="A65" s="45"/>
      <c r="B65" s="45"/>
      <c r="C65" s="45"/>
      <c r="D65" s="68"/>
      <c r="E65" s="45"/>
      <c r="F65" s="45"/>
      <c r="G65" s="45"/>
      <c r="H65" s="46"/>
      <c r="I65" s="45"/>
      <c r="J65" s="47"/>
      <c r="K65" s="107"/>
      <c r="L65" s="43"/>
      <c r="M65" s="43"/>
      <c r="N65" s="69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</row>
    <row r="66" spans="1:258" s="25" customFormat="1" ht="63" x14ac:dyDescent="0.25">
      <c r="A66" s="121" t="s">
        <v>38</v>
      </c>
      <c r="B66" s="17" t="s">
        <v>25</v>
      </c>
      <c r="C66" s="21"/>
      <c r="D66" s="58" t="str">
        <f>D7</f>
        <v xml:space="preserve">Prior Year  2015/16  Actual thru 10/31/15 </v>
      </c>
      <c r="E66" s="59"/>
      <c r="F66" s="58" t="str">
        <f>F7</f>
        <v>Current Year  Year 16/17  Budget</v>
      </c>
      <c r="G66" s="59"/>
      <c r="H66" s="58" t="str">
        <f>+H49</f>
        <v>Current Year  Year 16/17  Through 10/31/16</v>
      </c>
      <c r="I66" s="58" t="str">
        <f>I7</f>
        <v xml:space="preserve"> Budget Variance F/(U)</v>
      </c>
      <c r="J66" s="58" t="str">
        <f>J7</f>
        <v xml:space="preserve"> % Rec'd / Used</v>
      </c>
      <c r="K66" s="108"/>
      <c r="L66" s="43"/>
      <c r="M66" s="43"/>
      <c r="N66" s="69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</row>
    <row r="67" spans="1:258" s="25" customFormat="1" ht="15.75" x14ac:dyDescent="0.25">
      <c r="A67" s="9" t="s">
        <v>9</v>
      </c>
      <c r="B67" s="1" t="s">
        <v>2</v>
      </c>
      <c r="C67" s="7"/>
      <c r="D67" s="7">
        <v>0</v>
      </c>
      <c r="E67" s="4"/>
      <c r="F67" s="91">
        <v>130000</v>
      </c>
      <c r="G67" s="4"/>
      <c r="H67" s="33">
        <v>0</v>
      </c>
      <c r="I67" s="4">
        <f>+F67-H67</f>
        <v>130000</v>
      </c>
      <c r="J67" s="48"/>
      <c r="K67" s="48"/>
      <c r="L67" s="43"/>
      <c r="M67" s="43"/>
      <c r="N67" s="69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</row>
    <row r="68" spans="1:258" s="25" customFormat="1" ht="15.75" x14ac:dyDescent="0.25">
      <c r="A68" s="9"/>
      <c r="B68" s="1" t="s">
        <v>4</v>
      </c>
      <c r="C68" s="7"/>
      <c r="D68" s="7">
        <v>0.01</v>
      </c>
      <c r="E68" s="4"/>
      <c r="F68" s="91">
        <v>0</v>
      </c>
      <c r="G68" s="4"/>
      <c r="H68" s="33">
        <v>0</v>
      </c>
      <c r="I68" s="4">
        <f>+F68-H68</f>
        <v>0</v>
      </c>
      <c r="J68" s="48"/>
      <c r="K68" s="48"/>
      <c r="L68" s="43"/>
      <c r="M68" s="43"/>
      <c r="N68" s="69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</row>
    <row r="69" spans="1:258" s="25" customFormat="1" ht="15.75" x14ac:dyDescent="0.25">
      <c r="A69" s="9"/>
      <c r="B69" s="1" t="s">
        <v>7</v>
      </c>
      <c r="C69" s="7"/>
      <c r="D69" s="7">
        <v>0</v>
      </c>
      <c r="E69" s="4"/>
      <c r="F69" s="91">
        <v>30000</v>
      </c>
      <c r="G69" s="4"/>
      <c r="H69" s="33">
        <v>0</v>
      </c>
      <c r="I69" s="4">
        <f>+F69-H69</f>
        <v>30000</v>
      </c>
      <c r="J69" s="48"/>
      <c r="K69" s="48"/>
      <c r="L69" s="43"/>
      <c r="M69" s="43"/>
      <c r="N69" s="69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</row>
    <row r="70" spans="1:258" s="25" customFormat="1" ht="16.5" thickBot="1" x14ac:dyDescent="0.3">
      <c r="A70" s="10" t="s">
        <v>39</v>
      </c>
      <c r="B70" s="11"/>
      <c r="C70" s="12"/>
      <c r="D70" s="83">
        <f>SUM(D67:D69)</f>
        <v>0.01</v>
      </c>
      <c r="E70" s="12"/>
      <c r="F70" s="92">
        <f>SUM(F67:F69)</f>
        <v>160000</v>
      </c>
      <c r="G70" s="12"/>
      <c r="H70" s="6">
        <f>SUM(H67:H69)</f>
        <v>0</v>
      </c>
      <c r="I70" s="6">
        <f>SUM(I67:I69)</f>
        <v>160000</v>
      </c>
      <c r="J70" s="37"/>
      <c r="K70" s="110"/>
      <c r="L70" s="43"/>
      <c r="M70" s="43"/>
      <c r="N70" s="69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</row>
    <row r="71" spans="1:258" s="25" customFormat="1" ht="15.75" x14ac:dyDescent="0.25">
      <c r="A71" s="9"/>
      <c r="B71" s="1"/>
      <c r="C71" s="7"/>
      <c r="D71" s="7"/>
      <c r="E71" s="4"/>
      <c r="F71" s="123"/>
      <c r="G71" s="4"/>
      <c r="H71" s="33"/>
      <c r="I71" s="4"/>
      <c r="J71" s="48"/>
      <c r="K71" s="48"/>
      <c r="L71" s="43"/>
      <c r="M71" s="43"/>
      <c r="N71" s="69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</row>
    <row r="72" spans="1:258" s="25" customFormat="1" ht="15.75" x14ac:dyDescent="0.25">
      <c r="A72" s="9" t="s">
        <v>12</v>
      </c>
      <c r="B72" s="1" t="s">
        <v>20</v>
      </c>
      <c r="C72" s="7"/>
      <c r="D72" s="7"/>
      <c r="E72" s="4"/>
      <c r="F72" s="91"/>
      <c r="G72" s="4"/>
      <c r="H72" s="33"/>
      <c r="I72" s="4">
        <f>+H72-F72</f>
        <v>0</v>
      </c>
      <c r="J72" s="34"/>
      <c r="K72" s="34"/>
      <c r="L72" s="43"/>
      <c r="M72" s="43"/>
      <c r="N72" s="69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</row>
    <row r="73" spans="1:258" s="25" customFormat="1" ht="15.75" x14ac:dyDescent="0.25">
      <c r="A73" s="9"/>
      <c r="B73" s="1" t="s">
        <v>63</v>
      </c>
      <c r="C73" s="7"/>
      <c r="D73" s="7">
        <v>0</v>
      </c>
      <c r="E73" s="4"/>
      <c r="F73" s="91"/>
      <c r="G73" s="4"/>
      <c r="H73" s="33">
        <v>102000.75</v>
      </c>
      <c r="I73" s="4">
        <f>+H73-F73</f>
        <v>102000.75</v>
      </c>
      <c r="J73" s="70">
        <v>0</v>
      </c>
      <c r="K73" s="70"/>
      <c r="L73" s="43"/>
      <c r="M73" s="43"/>
      <c r="N73" s="69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</row>
    <row r="74" spans="1:258" s="25" customFormat="1" ht="16.5" thickBot="1" x14ac:dyDescent="0.3">
      <c r="A74" s="10" t="s">
        <v>40</v>
      </c>
      <c r="B74" s="11"/>
      <c r="C74" s="12"/>
      <c r="D74" s="83">
        <f>SUM(D72:D73)</f>
        <v>0</v>
      </c>
      <c r="E74" s="12"/>
      <c r="F74" s="92">
        <f>SUM(F72:F73)</f>
        <v>0</v>
      </c>
      <c r="G74" s="12"/>
      <c r="H74" s="26">
        <f>SUM(H72:H73)</f>
        <v>102000.75</v>
      </c>
      <c r="I74" s="6">
        <f>SUM(I72:I73)</f>
        <v>102000.75</v>
      </c>
      <c r="J74" s="37">
        <v>0</v>
      </c>
      <c r="K74" s="110"/>
      <c r="L74" s="43"/>
      <c r="M74" s="43"/>
      <c r="N74" s="69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</row>
    <row r="75" spans="1:258" s="25" customFormat="1" ht="15.75" x14ac:dyDescent="0.25">
      <c r="A75"/>
      <c r="B75"/>
      <c r="C75" s="15"/>
      <c r="D75" s="15"/>
      <c r="E75"/>
      <c r="F75" s="122"/>
      <c r="G75"/>
      <c r="H75" s="38"/>
      <c r="I75"/>
      <c r="J75" s="8"/>
      <c r="K75" s="8"/>
      <c r="L75" s="43"/>
      <c r="M75" s="43"/>
      <c r="N75" s="69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</row>
    <row r="76" spans="1:258" s="42" customFormat="1" ht="15.75" x14ac:dyDescent="0.25">
      <c r="A76" s="19" t="s">
        <v>15</v>
      </c>
      <c r="B76"/>
      <c r="C76" s="15"/>
      <c r="D76" s="84">
        <f>+D70-D74</f>
        <v>0.01</v>
      </c>
      <c r="E76"/>
      <c r="F76" s="93">
        <f>+F70-F74</f>
        <v>160000</v>
      </c>
      <c r="G76"/>
      <c r="H76" s="39">
        <f>+H70-H74</f>
        <v>-102000.75</v>
      </c>
      <c r="I76" s="18">
        <f>+I70+I74</f>
        <v>262000.75</v>
      </c>
      <c r="J76" s="8"/>
      <c r="K76" s="8"/>
      <c r="L76" s="41"/>
      <c r="M76" s="41"/>
      <c r="N76" s="77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</row>
    <row r="77" spans="1:258" s="42" customFormat="1" x14ac:dyDescent="0.25">
      <c r="A77" s="25"/>
      <c r="B77" s="25"/>
      <c r="C77" s="25"/>
      <c r="D77" s="25"/>
      <c r="E77" s="25"/>
      <c r="F77" s="44"/>
      <c r="G77" s="25"/>
      <c r="H77" s="44"/>
      <c r="I77" s="25"/>
      <c r="J77" s="50"/>
      <c r="K77" s="50"/>
      <c r="L77" s="41"/>
      <c r="M77" s="41"/>
      <c r="N77" s="77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</row>
    <row r="78" spans="1:258" s="49" customFormat="1" ht="15.75" x14ac:dyDescent="0.25">
      <c r="A78" s="74" t="s">
        <v>60</v>
      </c>
      <c r="B78" s="25"/>
      <c r="C78" s="25"/>
      <c r="D78" s="85">
        <v>-36314</v>
      </c>
      <c r="E78" s="75"/>
      <c r="F78" s="94">
        <f>D79</f>
        <v>-133325</v>
      </c>
      <c r="G78" s="75"/>
      <c r="H78" s="76">
        <f>D79</f>
        <v>-133325</v>
      </c>
      <c r="I78" s="25"/>
      <c r="J78" s="50"/>
      <c r="K78" s="50"/>
      <c r="L78" s="65"/>
      <c r="M78" s="65"/>
      <c r="N78" s="73"/>
      <c r="O78" s="65"/>
      <c r="P78" s="65"/>
      <c r="Q78" s="99"/>
      <c r="R78" s="99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  <c r="IV78" s="63"/>
      <c r="IW78" s="63"/>
      <c r="IX78" s="63"/>
    </row>
    <row r="79" spans="1:258" s="49" customFormat="1" ht="15.75" x14ac:dyDescent="0.25">
      <c r="A79" s="74" t="s">
        <v>61</v>
      </c>
      <c r="B79" s="25"/>
      <c r="C79" s="25"/>
      <c r="D79" s="86">
        <v>-133325</v>
      </c>
      <c r="E79" s="75"/>
      <c r="F79" s="24">
        <f>F76+F78</f>
        <v>26675</v>
      </c>
      <c r="G79" s="75"/>
      <c r="H79" s="75">
        <f>H76+H78</f>
        <v>-235325.75</v>
      </c>
      <c r="I79" s="25"/>
      <c r="J79" s="50"/>
      <c r="K79" s="50"/>
      <c r="L79" s="65"/>
      <c r="M79" s="65"/>
      <c r="N79" s="73"/>
      <c r="O79" s="65"/>
      <c r="P79" s="65"/>
      <c r="Q79" s="99"/>
      <c r="R79" s="99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</row>
    <row r="80" spans="1:258" s="42" customFormat="1" x14ac:dyDescent="0.25">
      <c r="A80" s="25"/>
      <c r="B80" s="25"/>
      <c r="C80" s="25"/>
      <c r="D80" s="27"/>
      <c r="E80" s="25"/>
      <c r="F80" s="25"/>
      <c r="G80" s="25"/>
      <c r="H80" s="44"/>
      <c r="I80" s="25"/>
      <c r="J80" s="50"/>
      <c r="K80" s="50"/>
      <c r="L80" s="41"/>
      <c r="M80" s="41"/>
      <c r="N80" s="77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</row>
    <row r="81" spans="1:72" s="25" customFormat="1" ht="15.75" thickBot="1" x14ac:dyDescent="0.3">
      <c r="D81" s="27"/>
      <c r="H81" s="44"/>
      <c r="J81" s="50"/>
      <c r="K81" s="50"/>
      <c r="L81" s="43"/>
      <c r="M81" s="43"/>
      <c r="N81" s="69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</row>
    <row r="82" spans="1:72" s="25" customFormat="1" x14ac:dyDescent="0.25">
      <c r="A82" s="45"/>
      <c r="B82" s="45"/>
      <c r="C82" s="45"/>
      <c r="D82" s="68"/>
      <c r="E82" s="45"/>
      <c r="F82" s="45"/>
      <c r="G82" s="45"/>
      <c r="H82" s="46"/>
      <c r="I82" s="45"/>
      <c r="J82" s="47"/>
      <c r="K82" s="107"/>
      <c r="L82" s="43"/>
      <c r="M82" s="43"/>
      <c r="N82" s="69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</row>
    <row r="83" spans="1:72" s="25" customFormat="1" ht="63" x14ac:dyDescent="0.25">
      <c r="A83" s="121" t="s">
        <v>41</v>
      </c>
      <c r="B83" s="17" t="s">
        <v>25</v>
      </c>
      <c r="C83" s="21"/>
      <c r="D83" s="58" t="str">
        <f>D7</f>
        <v xml:space="preserve">Prior Year  2015/16  Actual thru 10/31/15 </v>
      </c>
      <c r="E83" s="59"/>
      <c r="F83" s="58" t="str">
        <f>F7</f>
        <v>Current Year  Year 16/17  Budget</v>
      </c>
      <c r="G83" s="59"/>
      <c r="H83" s="58" t="str">
        <f>+H66</f>
        <v>Current Year  Year 16/17  Through 10/31/16</v>
      </c>
      <c r="I83" s="58" t="str">
        <f>I7</f>
        <v xml:space="preserve"> Budget Variance F/(U)</v>
      </c>
      <c r="J83" s="58" t="str">
        <f>J7</f>
        <v xml:space="preserve"> % Rec'd / Used</v>
      </c>
      <c r="K83" s="108"/>
      <c r="L83" s="43"/>
      <c r="M83" s="43"/>
      <c r="N83" s="69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</row>
    <row r="84" spans="1:72" s="25" customFormat="1" ht="15.75" x14ac:dyDescent="0.25">
      <c r="A84" s="9" t="s">
        <v>9</v>
      </c>
      <c r="B84" s="1" t="s">
        <v>0</v>
      </c>
      <c r="C84" s="7"/>
      <c r="D84" s="7">
        <v>87618.18</v>
      </c>
      <c r="E84" s="89"/>
      <c r="F84" s="91">
        <v>190000</v>
      </c>
      <c r="G84" s="4"/>
      <c r="H84" s="33">
        <v>35537.9</v>
      </c>
      <c r="I84" s="4">
        <f>+F84-H84</f>
        <v>154462.1</v>
      </c>
      <c r="J84" s="34">
        <f>+H84/F84</f>
        <v>0.18704157894736842</v>
      </c>
      <c r="K84" s="34"/>
      <c r="L84" s="43"/>
      <c r="M84" s="43"/>
      <c r="N84" s="69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</row>
    <row r="85" spans="1:72" s="25" customFormat="1" ht="15.75" x14ac:dyDescent="0.25">
      <c r="A85" s="9"/>
      <c r="B85" s="1" t="s">
        <v>1</v>
      </c>
      <c r="C85" s="7"/>
      <c r="D85" s="7"/>
      <c r="E85" s="89"/>
      <c r="F85" s="91">
        <v>0</v>
      </c>
      <c r="G85" s="4"/>
      <c r="H85" s="33"/>
      <c r="I85" s="4">
        <f>+F85-H85</f>
        <v>0</v>
      </c>
      <c r="J85" s="34"/>
      <c r="K85" s="34"/>
      <c r="L85" s="43"/>
      <c r="M85" s="43"/>
      <c r="N85" s="69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</row>
    <row r="86" spans="1:72" s="25" customFormat="1" ht="15.75" x14ac:dyDescent="0.25">
      <c r="A86" s="9"/>
      <c r="B86" s="1" t="s">
        <v>4</v>
      </c>
      <c r="C86" s="7"/>
      <c r="D86" s="7">
        <v>881.08</v>
      </c>
      <c r="E86" s="89"/>
      <c r="F86" s="91">
        <v>3300</v>
      </c>
      <c r="G86" s="4"/>
      <c r="H86" s="33">
        <v>1742.56</v>
      </c>
      <c r="I86" s="4">
        <f>+F86-H86</f>
        <v>1557.44</v>
      </c>
      <c r="J86" s="34">
        <f t="shared" ref="J86" si="3">+H86/F86</f>
        <v>0.52804848484848488</v>
      </c>
      <c r="K86" s="34"/>
      <c r="L86" s="43"/>
      <c r="M86" s="43"/>
      <c r="N86" s="69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</row>
    <row r="87" spans="1:72" s="25" customFormat="1" ht="15.75" x14ac:dyDescent="0.25">
      <c r="A87" s="9"/>
      <c r="B87" s="62" t="s">
        <v>64</v>
      </c>
      <c r="C87" s="7"/>
      <c r="D87" s="7">
        <v>925</v>
      </c>
      <c r="E87" s="89"/>
      <c r="F87" s="91">
        <v>0</v>
      </c>
      <c r="G87" s="4"/>
      <c r="H87" s="33">
        <v>166.77</v>
      </c>
      <c r="I87" s="4">
        <f>+F87-H87</f>
        <v>-166.77</v>
      </c>
      <c r="J87" s="34"/>
      <c r="K87" s="34"/>
      <c r="L87" s="43"/>
      <c r="M87" s="43"/>
      <c r="N87" s="69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</row>
    <row r="88" spans="1:72" s="25" customFormat="1" ht="16.5" thickBot="1" x14ac:dyDescent="0.3">
      <c r="A88" s="10" t="s">
        <v>42</v>
      </c>
      <c r="B88" s="11"/>
      <c r="C88" s="12"/>
      <c r="D88" s="83">
        <f>SUM(D84:D87)</f>
        <v>89424.26</v>
      </c>
      <c r="E88" s="7"/>
      <c r="F88" s="92">
        <f>SUM(F84:F87)</f>
        <v>193300</v>
      </c>
      <c r="G88" s="12"/>
      <c r="H88" s="6">
        <f>SUM(H84:H87)</f>
        <v>37447.229999999996</v>
      </c>
      <c r="I88" s="6">
        <f>SUM(I84:I87)</f>
        <v>155852.77000000002</v>
      </c>
      <c r="J88" s="35"/>
      <c r="K88" s="111"/>
      <c r="L88" s="43"/>
      <c r="M88" s="43"/>
      <c r="N88" s="69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</row>
    <row r="89" spans="1:72" s="25" customFormat="1" ht="15.75" x14ac:dyDescent="0.25">
      <c r="A89" s="9"/>
      <c r="B89" s="1"/>
      <c r="C89" s="7"/>
      <c r="D89" s="7"/>
      <c r="E89" s="89"/>
      <c r="F89" s="123"/>
      <c r="G89" s="4"/>
      <c r="H89" s="33"/>
      <c r="I89" s="4"/>
      <c r="J89" s="34"/>
      <c r="K89" s="34"/>
      <c r="L89" s="43"/>
      <c r="M89" s="131"/>
      <c r="N89" s="69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</row>
    <row r="90" spans="1:72" s="25" customFormat="1" ht="15.75" x14ac:dyDescent="0.25">
      <c r="A90" s="9" t="s">
        <v>12</v>
      </c>
      <c r="B90" s="1" t="s">
        <v>20</v>
      </c>
      <c r="C90" s="7"/>
      <c r="D90" s="7">
        <v>232</v>
      </c>
      <c r="E90" s="89"/>
      <c r="F90" s="91">
        <v>0</v>
      </c>
      <c r="G90" s="4"/>
      <c r="H90" s="33">
        <v>7966.2</v>
      </c>
      <c r="I90" s="4">
        <f>+H90-F90</f>
        <v>7966.2</v>
      </c>
      <c r="J90" s="34"/>
      <c r="K90" s="34"/>
      <c r="L90" s="43"/>
      <c r="M90" s="132">
        <v>161829</v>
      </c>
      <c r="N90" s="130"/>
      <c r="O90" s="130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</row>
    <row r="91" spans="1:72" s="25" customFormat="1" ht="15.75" x14ac:dyDescent="0.25">
      <c r="A91" s="9"/>
      <c r="B91" s="1" t="s">
        <v>17</v>
      </c>
      <c r="C91" s="7"/>
      <c r="D91" s="7">
        <v>0</v>
      </c>
      <c r="E91" s="89"/>
      <c r="F91" s="91">
        <v>0</v>
      </c>
      <c r="G91" s="4"/>
      <c r="H91" s="33"/>
      <c r="I91" s="4">
        <f>+H91-F91</f>
        <v>0</v>
      </c>
      <c r="J91" s="34"/>
      <c r="K91" s="34"/>
      <c r="L91" s="43"/>
      <c r="M91" s="132">
        <v>-162060.65</v>
      </c>
      <c r="N91" s="130"/>
      <c r="O91" s="130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</row>
    <row r="92" spans="1:72" s="25" customFormat="1" ht="15.75" x14ac:dyDescent="0.25">
      <c r="A92" s="9"/>
      <c r="B92" s="1" t="s">
        <v>18</v>
      </c>
      <c r="C92" s="7"/>
      <c r="D92" s="7">
        <v>142261.59</v>
      </c>
      <c r="E92" s="89"/>
      <c r="F92" s="91">
        <v>0</v>
      </c>
      <c r="G92" s="4"/>
      <c r="H92" s="33">
        <v>105465.24</v>
      </c>
      <c r="I92" s="4">
        <f>+H92-F92</f>
        <v>105465.24</v>
      </c>
      <c r="J92" s="34"/>
      <c r="K92" s="34"/>
      <c r="L92" s="43"/>
      <c r="M92" s="132">
        <v>0</v>
      </c>
      <c r="N92" s="130"/>
      <c r="O92" s="130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</row>
    <row r="93" spans="1:72" s="25" customFormat="1" ht="15.75" x14ac:dyDescent="0.25">
      <c r="A93" s="1"/>
      <c r="B93" s="1" t="s">
        <v>7</v>
      </c>
      <c r="C93" s="7"/>
      <c r="D93" s="7">
        <v>19567.57</v>
      </c>
      <c r="E93" s="89"/>
      <c r="F93" s="91">
        <v>0</v>
      </c>
      <c r="G93" s="4"/>
      <c r="H93" s="33">
        <v>16312.41</v>
      </c>
      <c r="I93" s="4">
        <f>+H93-F93</f>
        <v>16312.41</v>
      </c>
      <c r="J93" s="34"/>
      <c r="K93" s="34"/>
      <c r="L93" s="43"/>
      <c r="M93" s="132"/>
      <c r="N93" s="130"/>
      <c r="O93" s="130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</row>
    <row r="94" spans="1:72" s="25" customFormat="1" ht="16.5" thickBot="1" x14ac:dyDescent="0.3">
      <c r="A94" s="10" t="s">
        <v>43</v>
      </c>
      <c r="B94" s="11"/>
      <c r="C94" s="12"/>
      <c r="D94" s="83">
        <f>SUM(D90:D93)</f>
        <v>162061.16</v>
      </c>
      <c r="E94" s="7"/>
      <c r="F94" s="92">
        <f>SUM(F90:F93)</f>
        <v>0</v>
      </c>
      <c r="G94" s="12"/>
      <c r="H94" s="26">
        <f>SUM(H90:H93)</f>
        <v>129743.85</v>
      </c>
      <c r="I94" s="6">
        <f>SUM(I90:I93)</f>
        <v>129743.85</v>
      </c>
      <c r="J94" s="37"/>
      <c r="K94" s="110"/>
      <c r="L94" s="43"/>
      <c r="M94" s="132">
        <f>SUM(M90:M93)</f>
        <v>-231.64999999999418</v>
      </c>
      <c r="N94" s="130"/>
      <c r="O94" s="130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</row>
    <row r="95" spans="1:72" s="25" customFormat="1" ht="15.75" x14ac:dyDescent="0.25">
      <c r="A95"/>
      <c r="B95"/>
      <c r="C95" s="15"/>
      <c r="D95" s="15"/>
      <c r="E95" s="90"/>
      <c r="F95" s="122"/>
      <c r="G95"/>
      <c r="H95" s="38"/>
      <c r="I95"/>
      <c r="J95" s="8"/>
      <c r="K95" s="8"/>
      <c r="L95" s="43"/>
      <c r="M95" s="130"/>
      <c r="N95" s="130"/>
      <c r="O95" s="130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</row>
    <row r="96" spans="1:72" s="53" customFormat="1" ht="16.5" customHeight="1" x14ac:dyDescent="0.25">
      <c r="A96" s="19" t="s">
        <v>15</v>
      </c>
      <c r="B96"/>
      <c r="C96" s="15"/>
      <c r="D96" s="84">
        <f>+D88-D94</f>
        <v>-72636.900000000009</v>
      </c>
      <c r="E96" s="90"/>
      <c r="F96" s="93">
        <f>+F88-F94</f>
        <v>193300</v>
      </c>
      <c r="G96"/>
      <c r="H96" s="39">
        <f>+H88-H94</f>
        <v>-92296.62000000001</v>
      </c>
      <c r="I96" s="18">
        <f>+I88+I94</f>
        <v>285596.62</v>
      </c>
      <c r="J96" s="8"/>
      <c r="K96" s="8"/>
      <c r="L96" s="52"/>
      <c r="M96" s="52"/>
      <c r="N96" s="78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</row>
    <row r="97" spans="1:258" s="53" customFormat="1" ht="16.5" customHeight="1" x14ac:dyDescent="0.25">
      <c r="A97" s="19"/>
      <c r="B97"/>
      <c r="C97" s="15"/>
      <c r="D97" s="84"/>
      <c r="E97" s="90"/>
      <c r="F97" s="124"/>
      <c r="G97"/>
      <c r="H97" s="39"/>
      <c r="I97" s="18"/>
      <c r="J97" s="8"/>
      <c r="K97" s="8"/>
      <c r="L97" s="52"/>
      <c r="M97" s="52"/>
      <c r="N97" s="78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</row>
    <row r="98" spans="1:258" s="49" customFormat="1" ht="15.75" x14ac:dyDescent="0.25">
      <c r="A98" s="74" t="s">
        <v>60</v>
      </c>
      <c r="B98" s="25"/>
      <c r="C98" s="25"/>
      <c r="D98" s="85">
        <v>3264686</v>
      </c>
      <c r="E98" s="86"/>
      <c r="F98" s="94">
        <f>D99</f>
        <v>3236693</v>
      </c>
      <c r="G98" s="75"/>
      <c r="H98" s="76">
        <f>D99</f>
        <v>3236693</v>
      </c>
      <c r="I98" s="25"/>
      <c r="J98" s="50"/>
      <c r="K98" s="50"/>
      <c r="L98" s="65"/>
      <c r="M98" s="65"/>
      <c r="N98" s="73"/>
      <c r="O98" s="65"/>
      <c r="P98" s="65"/>
      <c r="Q98" s="99"/>
      <c r="R98" s="99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</row>
    <row r="99" spans="1:258" s="49" customFormat="1" ht="15.75" x14ac:dyDescent="0.25">
      <c r="A99" s="74" t="s">
        <v>61</v>
      </c>
      <c r="B99" s="25"/>
      <c r="C99" s="25"/>
      <c r="D99" s="86">
        <v>3236693</v>
      </c>
      <c r="E99" s="86"/>
      <c r="F99" s="24">
        <f>F96+F98</f>
        <v>3429993</v>
      </c>
      <c r="G99" s="75"/>
      <c r="H99" s="75">
        <f>H96+H98</f>
        <v>3144396.38</v>
      </c>
      <c r="I99" s="25"/>
      <c r="J99" s="50"/>
      <c r="K99" s="50"/>
      <c r="L99" s="65"/>
      <c r="M99" s="65"/>
      <c r="N99" s="73"/>
      <c r="O99" s="65"/>
      <c r="P99" s="65"/>
      <c r="Q99" s="99"/>
      <c r="R99" s="99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</row>
    <row r="100" spans="1:258" s="53" customFormat="1" ht="16.5" customHeight="1" x14ac:dyDescent="0.25">
      <c r="A100" s="25"/>
      <c r="B100" s="25"/>
      <c r="C100" s="25"/>
      <c r="D100" s="25"/>
      <c r="E100" s="25"/>
      <c r="F100" s="25"/>
      <c r="G100" s="25"/>
      <c r="H100" s="44"/>
      <c r="I100" s="25"/>
      <c r="J100" s="50"/>
      <c r="K100" s="50"/>
      <c r="L100" s="52"/>
      <c r="M100" s="52"/>
      <c r="N100" s="78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</row>
    <row r="101" spans="1:258" s="25" customFormat="1" ht="15.75" thickBot="1" x14ac:dyDescent="0.3">
      <c r="D101" s="27"/>
      <c r="H101" s="44"/>
      <c r="J101" s="50"/>
      <c r="K101" s="50"/>
      <c r="L101" s="43"/>
      <c r="M101" s="43"/>
      <c r="N101" s="69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</row>
    <row r="102" spans="1:258" s="25" customFormat="1" x14ac:dyDescent="0.25">
      <c r="A102" s="45"/>
      <c r="B102" s="45"/>
      <c r="C102" s="45"/>
      <c r="D102" s="68"/>
      <c r="E102" s="45"/>
      <c r="F102" s="45"/>
      <c r="G102" s="45"/>
      <c r="H102" s="46"/>
      <c r="I102" s="45"/>
      <c r="J102" s="47"/>
      <c r="K102" s="107"/>
      <c r="L102" s="43"/>
      <c r="M102" s="43"/>
      <c r="N102" s="69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</row>
    <row r="103" spans="1:258" s="25" customFormat="1" ht="63" x14ac:dyDescent="0.25">
      <c r="A103" s="121" t="s">
        <v>44</v>
      </c>
      <c r="B103" s="17" t="s">
        <v>25</v>
      </c>
      <c r="C103" s="21"/>
      <c r="D103" s="58" t="str">
        <f>D7</f>
        <v xml:space="preserve">Prior Year  2015/16  Actual thru 10/31/15 </v>
      </c>
      <c r="E103" s="59"/>
      <c r="F103" s="58" t="str">
        <f>F7</f>
        <v>Current Year  Year 16/17  Budget</v>
      </c>
      <c r="G103" s="59"/>
      <c r="H103" s="58" t="str">
        <f>+H83</f>
        <v>Current Year  Year 16/17  Through 10/31/16</v>
      </c>
      <c r="I103" s="127" t="str">
        <f>I7</f>
        <v xml:space="preserve"> Budget Variance F/(U)</v>
      </c>
      <c r="J103" s="58" t="str">
        <f>J7</f>
        <v xml:space="preserve"> % Rec'd / Used</v>
      </c>
      <c r="K103" s="108"/>
      <c r="L103" s="43"/>
      <c r="M103" s="43"/>
      <c r="N103" s="69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</row>
    <row r="104" spans="1:258" s="25" customFormat="1" ht="15.75" x14ac:dyDescent="0.25">
      <c r="A104" s="9" t="s">
        <v>9</v>
      </c>
      <c r="B104" s="1" t="s">
        <v>0</v>
      </c>
      <c r="C104" s="7"/>
      <c r="D104" s="7">
        <v>1935847.68</v>
      </c>
      <c r="E104" s="4"/>
      <c r="F104" s="91">
        <v>1900000</v>
      </c>
      <c r="G104" s="4"/>
      <c r="H104" s="33">
        <v>1559344.09</v>
      </c>
      <c r="I104" s="4">
        <f>+F104-H104</f>
        <v>340655.90999999992</v>
      </c>
      <c r="J104" s="34">
        <f>+H104/F104</f>
        <v>0.8207074157894737</v>
      </c>
      <c r="K104" s="34"/>
      <c r="L104" s="43"/>
      <c r="M104" s="43"/>
      <c r="N104" s="69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</row>
    <row r="105" spans="1:258" s="25" customFormat="1" ht="15.75" x14ac:dyDescent="0.25">
      <c r="A105" s="9"/>
      <c r="B105" s="1" t="s">
        <v>1</v>
      </c>
      <c r="C105" s="7"/>
      <c r="D105" s="7">
        <v>100000</v>
      </c>
      <c r="E105" s="4"/>
      <c r="F105" s="91">
        <v>0</v>
      </c>
      <c r="G105" s="4"/>
      <c r="H105" s="33">
        <v>0</v>
      </c>
      <c r="I105" s="4">
        <f>+F105-H105</f>
        <v>0</v>
      </c>
      <c r="J105" s="34"/>
      <c r="K105" s="34"/>
      <c r="L105" s="43"/>
      <c r="M105" s="43"/>
      <c r="N105" s="69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</row>
    <row r="106" spans="1:258" s="25" customFormat="1" ht="15.75" x14ac:dyDescent="0.25">
      <c r="A106" s="9"/>
      <c r="B106" s="1" t="s">
        <v>4</v>
      </c>
      <c r="C106" s="7"/>
      <c r="D106" s="7">
        <v>58.44</v>
      </c>
      <c r="E106" s="4"/>
      <c r="F106" s="91">
        <v>0</v>
      </c>
      <c r="G106" s="4"/>
      <c r="H106" s="33">
        <v>1286.96</v>
      </c>
      <c r="I106" s="4">
        <f>+F106-H106</f>
        <v>-1286.96</v>
      </c>
      <c r="J106" s="34"/>
      <c r="K106" s="34"/>
      <c r="L106" s="43"/>
      <c r="M106" s="43"/>
      <c r="N106" s="69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</row>
    <row r="107" spans="1:258" s="25" customFormat="1" ht="15.75" x14ac:dyDescent="0.25">
      <c r="A107" s="9"/>
      <c r="B107" s="1" t="s">
        <v>8</v>
      </c>
      <c r="C107" s="7"/>
      <c r="D107" s="7"/>
      <c r="E107" s="4"/>
      <c r="F107" s="91">
        <v>0</v>
      </c>
      <c r="G107" s="4"/>
      <c r="H107" s="33">
        <v>0</v>
      </c>
      <c r="I107" s="4">
        <f>+F107-H107</f>
        <v>0</v>
      </c>
      <c r="J107" s="34"/>
      <c r="K107" s="34"/>
      <c r="L107" s="43"/>
      <c r="M107" s="43"/>
      <c r="N107" s="69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</row>
    <row r="108" spans="1:258" s="25" customFormat="1" ht="16.5" thickBot="1" x14ac:dyDescent="0.3">
      <c r="A108" s="10" t="s">
        <v>42</v>
      </c>
      <c r="B108" s="11"/>
      <c r="C108" s="12"/>
      <c r="D108" s="83">
        <f>SUM(D104:D107)</f>
        <v>2035906.1199999999</v>
      </c>
      <c r="E108" s="12"/>
      <c r="F108" s="92">
        <f>SUM(F104:F107)</f>
        <v>1900000</v>
      </c>
      <c r="G108" s="12"/>
      <c r="H108" s="6">
        <f>SUM(H104:H107)</f>
        <v>1560631.05</v>
      </c>
      <c r="I108" s="6">
        <f>SUM(I104:I107)</f>
        <v>339368.9499999999</v>
      </c>
      <c r="J108" s="37">
        <f>+H108/F108</f>
        <v>0.82138476315789477</v>
      </c>
      <c r="K108" s="110"/>
      <c r="L108" s="43"/>
      <c r="M108" s="43"/>
      <c r="N108" s="69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</row>
    <row r="109" spans="1:258" s="25" customFormat="1" ht="15.75" x14ac:dyDescent="0.25">
      <c r="A109" s="9"/>
      <c r="B109" s="1"/>
      <c r="C109" s="7"/>
      <c r="D109" s="7"/>
      <c r="E109" s="4"/>
      <c r="F109" s="123"/>
      <c r="G109" s="4"/>
      <c r="H109" s="33"/>
      <c r="I109" s="4"/>
      <c r="J109" s="48"/>
      <c r="K109" s="48"/>
      <c r="L109" s="43"/>
      <c r="M109" s="43"/>
      <c r="N109" s="69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</row>
    <row r="110" spans="1:258" s="25" customFormat="1" ht="15.75" x14ac:dyDescent="0.25">
      <c r="A110" s="9" t="s">
        <v>12</v>
      </c>
      <c r="B110" s="1" t="s">
        <v>20</v>
      </c>
      <c r="C110" s="7"/>
      <c r="D110" s="7">
        <v>3266.25</v>
      </c>
      <c r="E110" s="4"/>
      <c r="F110" s="91">
        <v>0</v>
      </c>
      <c r="G110" s="4"/>
      <c r="H110" s="33">
        <v>0</v>
      </c>
      <c r="I110" s="4">
        <f>+H110-F110</f>
        <v>0</v>
      </c>
      <c r="J110" s="34"/>
      <c r="K110" s="34"/>
      <c r="L110" s="43"/>
      <c r="M110" s="43">
        <v>34269</v>
      </c>
      <c r="N110" s="69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</row>
    <row r="111" spans="1:258" s="25" customFormat="1" ht="15.75" x14ac:dyDescent="0.25">
      <c r="A111" s="9"/>
      <c r="B111" s="1" t="s">
        <v>19</v>
      </c>
      <c r="C111" s="7"/>
      <c r="D111" s="7">
        <v>3065221.88</v>
      </c>
      <c r="E111" s="4"/>
      <c r="F111" s="91">
        <v>0</v>
      </c>
      <c r="G111" s="4"/>
      <c r="H111" s="33">
        <v>0</v>
      </c>
      <c r="I111" s="4">
        <f>+H111-F111</f>
        <v>0</v>
      </c>
      <c r="J111" s="34"/>
      <c r="K111" s="34"/>
      <c r="L111" s="43"/>
      <c r="M111" s="43">
        <v>7230</v>
      </c>
      <c r="N111" s="69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</row>
    <row r="112" spans="1:258" s="25" customFormat="1" ht="15.75" x14ac:dyDescent="0.25">
      <c r="A112" s="1"/>
      <c r="B112" s="1" t="s">
        <v>7</v>
      </c>
      <c r="C112" s="7"/>
      <c r="D112" s="7">
        <v>350000</v>
      </c>
      <c r="E112" s="4"/>
      <c r="F112" s="91">
        <v>0</v>
      </c>
      <c r="G112" s="4"/>
      <c r="H112" s="33">
        <v>0</v>
      </c>
      <c r="I112" s="4">
        <f>+H112-F112</f>
        <v>0</v>
      </c>
      <c r="J112" s="34"/>
      <c r="K112" s="34"/>
      <c r="L112" s="43"/>
      <c r="M112" s="43">
        <f>SUM(M110:M111)</f>
        <v>41499</v>
      </c>
      <c r="N112" s="69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</row>
    <row r="113" spans="1:258" s="25" customFormat="1" ht="16.5" thickBot="1" x14ac:dyDescent="0.3">
      <c r="A113" s="10" t="s">
        <v>43</v>
      </c>
      <c r="B113" s="11"/>
      <c r="C113" s="12"/>
      <c r="D113" s="83">
        <f>SUM(D110:D112)</f>
        <v>3418488.13</v>
      </c>
      <c r="E113" s="12"/>
      <c r="F113" s="92">
        <f>SUM(F110:F112)</f>
        <v>0</v>
      </c>
      <c r="G113" s="12"/>
      <c r="H113" s="26">
        <f>SUM(H110:H112)</f>
        <v>0</v>
      </c>
      <c r="I113" s="6">
        <f>SUM(I110:I112)</f>
        <v>0</v>
      </c>
      <c r="J113" s="37"/>
      <c r="K113" s="110"/>
      <c r="L113" s="43"/>
      <c r="M113" s="43"/>
      <c r="N113" s="6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</row>
    <row r="114" spans="1:258" s="25" customFormat="1" ht="15.75" x14ac:dyDescent="0.25">
      <c r="A114"/>
      <c r="B114"/>
      <c r="C114" s="15"/>
      <c r="D114" s="15"/>
      <c r="E114"/>
      <c r="F114" s="122"/>
      <c r="G114"/>
      <c r="H114" s="38"/>
      <c r="I114"/>
      <c r="J114" s="8"/>
      <c r="K114" s="8"/>
      <c r="L114" s="43"/>
      <c r="M114" s="43"/>
      <c r="N114" s="69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</row>
    <row r="115" spans="1:258" s="53" customFormat="1" ht="16.5" customHeight="1" x14ac:dyDescent="0.25">
      <c r="A115" s="19" t="s">
        <v>15</v>
      </c>
      <c r="B115"/>
      <c r="C115" s="15"/>
      <c r="D115" s="84">
        <f>+D108-D113</f>
        <v>-1382582.01</v>
      </c>
      <c r="E115"/>
      <c r="F115" s="93">
        <f>+F108-F113</f>
        <v>1900000</v>
      </c>
      <c r="G115"/>
      <c r="H115" s="39">
        <f>+H108-H113</f>
        <v>1560631.05</v>
      </c>
      <c r="I115" s="18">
        <f>+I108+I113</f>
        <v>339368.9499999999</v>
      </c>
      <c r="J115" s="8"/>
      <c r="K115" s="8"/>
      <c r="L115" s="52"/>
      <c r="M115" s="52"/>
      <c r="N115" s="78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</row>
    <row r="116" spans="1:258" s="53" customFormat="1" ht="16.5" customHeight="1" x14ac:dyDescent="0.25">
      <c r="A116" s="19"/>
      <c r="B116"/>
      <c r="C116" s="15"/>
      <c r="D116" s="84"/>
      <c r="E116"/>
      <c r="F116" s="124"/>
      <c r="G116"/>
      <c r="H116" s="39"/>
      <c r="I116" s="18"/>
      <c r="J116" s="8"/>
      <c r="K116" s="8"/>
      <c r="L116" s="52"/>
      <c r="M116" s="52"/>
      <c r="N116" s="78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</row>
    <row r="117" spans="1:258" s="49" customFormat="1" ht="15.75" x14ac:dyDescent="0.25">
      <c r="A117" s="74" t="s">
        <v>60</v>
      </c>
      <c r="B117" s="25"/>
      <c r="C117" s="25"/>
      <c r="D117" s="85">
        <v>9738633</v>
      </c>
      <c r="E117" s="75"/>
      <c r="F117" s="94">
        <f>D118</f>
        <v>7249058</v>
      </c>
      <c r="G117" s="75"/>
      <c r="H117" s="76">
        <f>D118</f>
        <v>7249058</v>
      </c>
      <c r="I117" s="25"/>
      <c r="J117" s="50"/>
      <c r="K117" s="50"/>
      <c r="L117" s="65"/>
      <c r="M117" s="65"/>
      <c r="N117" s="73"/>
      <c r="O117" s="65"/>
      <c r="P117" s="65"/>
      <c r="Q117" s="99"/>
      <c r="R117" s="99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  <c r="IU117" s="63"/>
      <c r="IV117" s="63"/>
      <c r="IW117" s="63"/>
      <c r="IX117" s="63"/>
    </row>
    <row r="118" spans="1:258" s="49" customFormat="1" ht="15.75" x14ac:dyDescent="0.25">
      <c r="A118" s="74" t="s">
        <v>61</v>
      </c>
      <c r="B118" s="25"/>
      <c r="C118" s="25"/>
      <c r="D118" s="86">
        <v>7249058</v>
      </c>
      <c r="E118" s="75"/>
      <c r="F118" s="24">
        <f>F115+F117</f>
        <v>9149058</v>
      </c>
      <c r="G118" s="75"/>
      <c r="H118" s="75">
        <f>H115+H117</f>
        <v>8809689.0500000007</v>
      </c>
      <c r="I118" s="25"/>
      <c r="J118" s="50"/>
      <c r="K118" s="50"/>
      <c r="L118" s="65"/>
      <c r="M118" s="65"/>
      <c r="N118" s="73"/>
      <c r="O118" s="65"/>
      <c r="P118" s="65"/>
      <c r="Q118" s="99"/>
      <c r="R118" s="99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  <c r="IU118" s="63"/>
      <c r="IV118" s="63"/>
      <c r="IW118" s="63"/>
      <c r="IX118" s="63"/>
    </row>
    <row r="119" spans="1:258" s="53" customFormat="1" ht="16.5" customHeight="1" x14ac:dyDescent="0.25">
      <c r="A119" s="19"/>
      <c r="B119"/>
      <c r="C119" s="15"/>
      <c r="D119" s="84"/>
      <c r="E119"/>
      <c r="F119" s="18"/>
      <c r="G119"/>
      <c r="H119" s="39"/>
      <c r="I119" s="18"/>
      <c r="J119" s="8"/>
      <c r="K119" s="8"/>
      <c r="L119" s="52"/>
      <c r="M119" s="52"/>
      <c r="N119" s="78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</row>
    <row r="120" spans="1:258" s="25" customFormat="1" ht="16.5" thickBot="1" x14ac:dyDescent="0.3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43"/>
      <c r="M120" s="43"/>
      <c r="N120" s="69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</row>
    <row r="121" spans="1:258" s="25" customFormat="1" x14ac:dyDescent="0.25">
      <c r="A121" s="45"/>
      <c r="B121" s="45"/>
      <c r="C121" s="45"/>
      <c r="D121" s="68"/>
      <c r="E121" s="45"/>
      <c r="F121" s="45"/>
      <c r="G121" s="45"/>
      <c r="H121" s="46"/>
      <c r="I121" s="45"/>
      <c r="J121" s="47"/>
      <c r="K121" s="107"/>
      <c r="L121" s="43"/>
      <c r="M121" s="43"/>
      <c r="N121" s="69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</row>
    <row r="122" spans="1:258" s="25" customFormat="1" ht="63" x14ac:dyDescent="0.25">
      <c r="A122" s="121" t="s">
        <v>45</v>
      </c>
      <c r="B122" s="17" t="s">
        <v>25</v>
      </c>
      <c r="C122" s="21"/>
      <c r="D122" s="58" t="str">
        <f>D7</f>
        <v xml:space="preserve">Prior Year  2015/16  Actual thru 10/31/15 </v>
      </c>
      <c r="E122" s="59"/>
      <c r="F122" s="58" t="str">
        <f>F7</f>
        <v>Current Year  Year 16/17  Budget</v>
      </c>
      <c r="G122" s="59"/>
      <c r="H122" s="58" t="str">
        <f>+H103</f>
        <v>Current Year  Year 16/17  Through 10/31/16</v>
      </c>
      <c r="I122" s="125" t="str">
        <f>I7</f>
        <v xml:space="preserve"> Budget Variance F/(U)</v>
      </c>
      <c r="J122" s="126" t="str">
        <f>J7</f>
        <v xml:space="preserve"> % Rec'd / Used</v>
      </c>
      <c r="K122" s="106"/>
      <c r="L122" s="43"/>
      <c r="M122" s="43"/>
      <c r="N122" s="69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</row>
    <row r="123" spans="1:258" s="25" customFormat="1" ht="15.75" x14ac:dyDescent="0.25">
      <c r="A123" s="9" t="s">
        <v>9</v>
      </c>
      <c r="B123" s="1" t="s">
        <v>0</v>
      </c>
      <c r="C123" s="7"/>
      <c r="D123" s="87">
        <v>47006.96</v>
      </c>
      <c r="E123" s="55"/>
      <c r="F123" s="23">
        <v>100000</v>
      </c>
      <c r="G123" s="4"/>
      <c r="H123" s="33">
        <v>53103.94</v>
      </c>
      <c r="I123" s="4">
        <f>+F123-H123</f>
        <v>46896.06</v>
      </c>
      <c r="J123" s="34"/>
      <c r="K123" s="34"/>
      <c r="L123" s="43"/>
      <c r="M123" s="43"/>
      <c r="N123" s="69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</row>
    <row r="124" spans="1:258" s="25" customFormat="1" ht="15.75" x14ac:dyDescent="0.25">
      <c r="A124" s="9"/>
      <c r="B124" s="1" t="s">
        <v>1</v>
      </c>
      <c r="C124" s="7"/>
      <c r="D124" s="87"/>
      <c r="E124" s="55"/>
      <c r="F124" s="23"/>
      <c r="G124" s="4"/>
      <c r="H124" s="33"/>
      <c r="I124" s="4">
        <f>+F124-H124</f>
        <v>0</v>
      </c>
      <c r="J124" s="34"/>
      <c r="K124" s="34"/>
      <c r="L124" s="43"/>
      <c r="M124" s="43"/>
      <c r="N124" s="69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</row>
    <row r="125" spans="1:258" s="25" customFormat="1" ht="15.75" x14ac:dyDescent="0.25">
      <c r="A125" s="9"/>
      <c r="B125" s="1" t="s">
        <v>4</v>
      </c>
      <c r="C125" s="7"/>
      <c r="D125" s="87">
        <v>368.72</v>
      </c>
      <c r="E125" s="55"/>
      <c r="F125" s="23">
        <v>650</v>
      </c>
      <c r="G125" s="4"/>
      <c r="H125" s="33">
        <v>269.58999999999997</v>
      </c>
      <c r="I125" s="4">
        <f>+F125-H125</f>
        <v>380.41</v>
      </c>
      <c r="J125" s="34"/>
      <c r="K125" s="34"/>
      <c r="L125" s="43"/>
      <c r="M125" s="43"/>
      <c r="N125" s="69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</row>
    <row r="126" spans="1:258" s="25" customFormat="1" ht="16.5" thickBot="1" x14ac:dyDescent="0.3">
      <c r="A126" s="10" t="s">
        <v>42</v>
      </c>
      <c r="B126" s="11"/>
      <c r="C126" s="12"/>
      <c r="D126" s="83">
        <f>SUM(D123:D125)</f>
        <v>47375.68</v>
      </c>
      <c r="E126" s="12"/>
      <c r="F126" s="92">
        <f>SUM(F123:F125)</f>
        <v>100650</v>
      </c>
      <c r="G126" s="12"/>
      <c r="H126" s="6">
        <f>SUM(H123:H125)</f>
        <v>53373.53</v>
      </c>
      <c r="I126" s="6">
        <f>SUM(I123:I125)</f>
        <v>47276.47</v>
      </c>
      <c r="J126" s="35"/>
      <c r="K126" s="111"/>
      <c r="L126" s="43"/>
      <c r="M126" s="43"/>
      <c r="N126" s="69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</row>
    <row r="127" spans="1:258" s="25" customFormat="1" ht="15.75" x14ac:dyDescent="0.25">
      <c r="A127" s="9"/>
      <c r="B127" s="1"/>
      <c r="C127" s="7"/>
      <c r="D127" s="7"/>
      <c r="E127" s="4"/>
      <c r="F127" s="123"/>
      <c r="G127" s="4"/>
      <c r="H127" s="33"/>
      <c r="I127" s="4"/>
      <c r="J127" s="34"/>
      <c r="K127" s="34"/>
      <c r="L127" s="43"/>
      <c r="M127" s="43"/>
      <c r="N127" s="69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</row>
    <row r="128" spans="1:258" s="25" customFormat="1" ht="15.75" x14ac:dyDescent="0.25">
      <c r="A128" s="9" t="s">
        <v>12</v>
      </c>
      <c r="B128" s="1" t="s">
        <v>20</v>
      </c>
      <c r="C128" s="7"/>
      <c r="D128" s="88">
        <v>1998.75</v>
      </c>
      <c r="E128" s="55"/>
      <c r="F128" s="23">
        <v>5350</v>
      </c>
      <c r="G128" s="4"/>
      <c r="H128" s="33">
        <v>1725</v>
      </c>
      <c r="I128" s="4">
        <f>+H128-F128</f>
        <v>-3625</v>
      </c>
      <c r="J128" s="34">
        <f>+F128/H128</f>
        <v>3.1014492753623188</v>
      </c>
      <c r="K128" s="34"/>
      <c r="L128" s="43"/>
      <c r="M128" s="43"/>
      <c r="N128" s="69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</row>
    <row r="129" spans="1:258" s="25" customFormat="1" ht="15.75" x14ac:dyDescent="0.25">
      <c r="A129" s="9"/>
      <c r="B129" s="1" t="s">
        <v>7</v>
      </c>
      <c r="C129" s="7"/>
      <c r="D129" s="88"/>
      <c r="E129" s="55"/>
      <c r="F129" s="23">
        <v>200000</v>
      </c>
      <c r="G129" s="4"/>
      <c r="H129" s="33">
        <v>0</v>
      </c>
      <c r="I129" s="4">
        <f>+H129-F129</f>
        <v>-200000</v>
      </c>
      <c r="J129" s="34"/>
      <c r="K129" s="34"/>
      <c r="L129" s="43"/>
      <c r="M129" s="43"/>
      <c r="N129" s="69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</row>
    <row r="130" spans="1:258" s="53" customFormat="1" ht="16.5" customHeight="1" thickBot="1" x14ac:dyDescent="0.3">
      <c r="A130" s="10" t="s">
        <v>43</v>
      </c>
      <c r="B130" s="11"/>
      <c r="C130" s="12"/>
      <c r="D130" s="83">
        <f>SUM(D128:D129)</f>
        <v>1998.75</v>
      </c>
      <c r="E130" s="12"/>
      <c r="F130" s="92">
        <f>SUM(F128:F129)</f>
        <v>205350</v>
      </c>
      <c r="G130" s="12"/>
      <c r="H130" s="26">
        <f>SUM(H128:H129)</f>
        <v>1725</v>
      </c>
      <c r="I130" s="6">
        <f>SUM(I128:I129)</f>
        <v>-203625</v>
      </c>
      <c r="J130" s="35">
        <f>+F130/H130</f>
        <v>119.04347826086956</v>
      </c>
      <c r="K130" s="111"/>
      <c r="L130" s="52"/>
      <c r="M130" s="52"/>
      <c r="N130" s="78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</row>
    <row r="131" spans="1:258" s="53" customFormat="1" ht="16.5" customHeight="1" x14ac:dyDescent="0.25">
      <c r="A131"/>
      <c r="B131"/>
      <c r="C131" s="15"/>
      <c r="D131" s="15"/>
      <c r="E131"/>
      <c r="F131" s="122"/>
      <c r="G131"/>
      <c r="H131" s="38"/>
      <c r="I131"/>
      <c r="J131" s="8"/>
      <c r="K131" s="8"/>
      <c r="L131" s="52"/>
      <c r="M131" s="52"/>
      <c r="N131" s="78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</row>
    <row r="132" spans="1:258" s="53" customFormat="1" ht="16.5" customHeight="1" x14ac:dyDescent="0.25">
      <c r="A132" s="19" t="s">
        <v>15</v>
      </c>
      <c r="B132"/>
      <c r="C132" s="15"/>
      <c r="D132" s="84">
        <f>+D126-D130</f>
        <v>45376.93</v>
      </c>
      <c r="E132"/>
      <c r="F132" s="93">
        <f>+F126-F130</f>
        <v>-104700</v>
      </c>
      <c r="G132"/>
      <c r="H132" s="39">
        <f>+H126-H130</f>
        <v>51648.53</v>
      </c>
      <c r="I132" s="18">
        <f>+I126+I130</f>
        <v>-156348.53</v>
      </c>
      <c r="J132" s="8"/>
      <c r="K132" s="8"/>
      <c r="L132" s="52"/>
      <c r="M132" s="52"/>
      <c r="N132" s="78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</row>
    <row r="133" spans="1:258" s="53" customFormat="1" ht="16.5" customHeight="1" x14ac:dyDescent="0.25">
      <c r="A133" s="19"/>
      <c r="B133"/>
      <c r="C133" s="15"/>
      <c r="D133" s="84"/>
      <c r="E133"/>
      <c r="F133" s="124"/>
      <c r="G133"/>
      <c r="H133" s="39"/>
      <c r="I133" s="18"/>
      <c r="J133" s="8"/>
      <c r="K133" s="8"/>
      <c r="L133" s="52"/>
      <c r="M133" s="52"/>
      <c r="N133" s="78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</row>
    <row r="134" spans="1:258" s="49" customFormat="1" ht="15.75" x14ac:dyDescent="0.25">
      <c r="A134" s="74" t="s">
        <v>60</v>
      </c>
      <c r="B134" s="25"/>
      <c r="C134" s="25"/>
      <c r="D134" s="85">
        <v>219667</v>
      </c>
      <c r="E134" s="75"/>
      <c r="F134" s="94">
        <f>D135</f>
        <v>265170</v>
      </c>
      <c r="G134" s="75"/>
      <c r="H134" s="76">
        <f>D135</f>
        <v>265170</v>
      </c>
      <c r="I134" s="25"/>
      <c r="J134" s="50"/>
      <c r="K134" s="50"/>
      <c r="L134" s="65"/>
      <c r="M134" s="65"/>
      <c r="N134" s="73"/>
      <c r="O134" s="65"/>
      <c r="P134" s="65"/>
      <c r="Q134" s="99"/>
      <c r="R134" s="99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  <c r="IU134" s="63"/>
      <c r="IV134" s="63"/>
      <c r="IW134" s="63"/>
      <c r="IX134" s="63"/>
    </row>
    <row r="135" spans="1:258" s="49" customFormat="1" ht="15.75" x14ac:dyDescent="0.25">
      <c r="A135" s="74" t="s">
        <v>61</v>
      </c>
      <c r="B135" s="25"/>
      <c r="C135" s="25"/>
      <c r="D135" s="86">
        <v>265170</v>
      </c>
      <c r="E135" s="75"/>
      <c r="F135" s="24">
        <f>F132+F134</f>
        <v>160470</v>
      </c>
      <c r="G135" s="75"/>
      <c r="H135" s="75">
        <f>H132+H134</f>
        <v>316818.53000000003</v>
      </c>
      <c r="I135" s="25"/>
      <c r="J135" s="50"/>
      <c r="K135" s="50"/>
      <c r="L135" s="65"/>
      <c r="M135" s="65"/>
      <c r="N135" s="73"/>
      <c r="O135" s="65"/>
      <c r="P135" s="65"/>
      <c r="Q135" s="99"/>
      <c r="R135" s="99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  <c r="IU135" s="63"/>
      <c r="IV135" s="63"/>
      <c r="IW135" s="63"/>
      <c r="IX135" s="63"/>
    </row>
    <row r="136" spans="1:258" s="42" customFormat="1" ht="15.75" customHeight="1" x14ac:dyDescent="0.25">
      <c r="A136" s="19"/>
      <c r="B136"/>
      <c r="C136" s="15"/>
      <c r="D136" s="18"/>
      <c r="E136"/>
      <c r="F136" s="18"/>
      <c r="G136"/>
      <c r="H136" s="39"/>
      <c r="I136" s="18"/>
      <c r="J136" s="8"/>
      <c r="K136" s="8"/>
      <c r="L136" s="41"/>
      <c r="M136" s="41"/>
      <c r="N136" s="77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</row>
    <row r="137" spans="1:258" s="25" customFormat="1" ht="16.5" thickBot="1" x14ac:dyDescent="0.3">
      <c r="A137" s="19"/>
      <c r="B137"/>
      <c r="C137" s="15"/>
      <c r="D137" s="18"/>
      <c r="E137"/>
      <c r="F137" s="18"/>
      <c r="G137"/>
      <c r="H137" s="39"/>
      <c r="I137" s="18"/>
      <c r="J137" s="8"/>
      <c r="K137" s="8"/>
      <c r="L137" s="43"/>
      <c r="M137" s="43"/>
      <c r="N137" s="69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</row>
    <row r="138" spans="1:258" s="25" customFormat="1" x14ac:dyDescent="0.25">
      <c r="A138" s="45"/>
      <c r="B138" s="45"/>
      <c r="C138" s="45"/>
      <c r="D138" s="68"/>
      <c r="E138" s="45"/>
      <c r="F138" s="45"/>
      <c r="G138" s="45"/>
      <c r="H138" s="46"/>
      <c r="I138" s="45"/>
      <c r="J138" s="47"/>
      <c r="K138" s="107"/>
      <c r="L138" s="43"/>
      <c r="M138" s="43"/>
      <c r="N138" s="69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</row>
    <row r="139" spans="1:258" s="25" customFormat="1" ht="63" x14ac:dyDescent="0.25">
      <c r="A139" s="121" t="s">
        <v>46</v>
      </c>
      <c r="B139" s="17" t="s">
        <v>25</v>
      </c>
      <c r="C139" s="21"/>
      <c r="D139" s="58" t="str">
        <f>D7</f>
        <v xml:space="preserve">Prior Year  2015/16  Actual thru 10/31/15 </v>
      </c>
      <c r="E139" s="59"/>
      <c r="F139" s="58" t="str">
        <f>F7</f>
        <v>Current Year  Year 16/17  Budget</v>
      </c>
      <c r="G139" s="59"/>
      <c r="H139" s="58" t="str">
        <f>+H122</f>
        <v>Current Year  Year 16/17  Through 10/31/16</v>
      </c>
      <c r="I139" s="125" t="str">
        <f>I7</f>
        <v xml:space="preserve"> Budget Variance F/(U)</v>
      </c>
      <c r="J139" s="126" t="str">
        <f>J7</f>
        <v xml:space="preserve"> % Rec'd / Used</v>
      </c>
      <c r="K139" s="106"/>
      <c r="L139" s="43"/>
      <c r="M139" s="43"/>
      <c r="N139" s="69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</row>
    <row r="140" spans="1:258" s="25" customFormat="1" ht="15.75" x14ac:dyDescent="0.25">
      <c r="A140" s="9" t="s">
        <v>9</v>
      </c>
      <c r="B140" s="1" t="s">
        <v>0</v>
      </c>
      <c r="C140" s="7"/>
      <c r="D140" s="88">
        <v>0</v>
      </c>
      <c r="E140" s="55"/>
      <c r="F140" s="23">
        <v>0</v>
      </c>
      <c r="G140" s="4"/>
      <c r="H140" s="33">
        <v>0</v>
      </c>
      <c r="I140" s="4">
        <f>+F140-H140</f>
        <v>0</v>
      </c>
      <c r="J140" s="48"/>
      <c r="K140" s="48"/>
      <c r="L140" s="43"/>
      <c r="M140" s="43"/>
      <c r="N140" s="69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</row>
    <row r="141" spans="1:258" s="25" customFormat="1" ht="15.75" x14ac:dyDescent="0.25">
      <c r="A141" s="9"/>
      <c r="B141" s="1" t="s">
        <v>1</v>
      </c>
      <c r="C141" s="7"/>
      <c r="D141" s="88">
        <v>0</v>
      </c>
      <c r="E141" s="55"/>
      <c r="F141" s="23">
        <v>0</v>
      </c>
      <c r="G141" s="4"/>
      <c r="H141" s="33">
        <v>0</v>
      </c>
      <c r="I141" s="4">
        <f>+F141-H141</f>
        <v>0</v>
      </c>
      <c r="J141" s="48"/>
      <c r="K141" s="48"/>
      <c r="L141" s="43"/>
      <c r="M141" s="43"/>
      <c r="N141" s="69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</row>
    <row r="142" spans="1:258" s="25" customFormat="1" ht="15.75" x14ac:dyDescent="0.25">
      <c r="A142" s="9"/>
      <c r="B142" s="1" t="s">
        <v>4</v>
      </c>
      <c r="C142" s="7"/>
      <c r="D142" s="88">
        <v>6.58</v>
      </c>
      <c r="E142" s="55"/>
      <c r="F142" s="23">
        <v>0</v>
      </c>
      <c r="G142" s="4"/>
      <c r="H142" s="33">
        <v>6.54</v>
      </c>
      <c r="I142" s="4">
        <f>+F142-H142</f>
        <v>-6.54</v>
      </c>
      <c r="J142" s="48"/>
      <c r="K142" s="48"/>
      <c r="L142" s="43"/>
      <c r="M142" s="43"/>
      <c r="N142" s="69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</row>
    <row r="143" spans="1:258" s="25" customFormat="1" ht="16.5" thickBot="1" x14ac:dyDescent="0.3">
      <c r="A143" s="10" t="s">
        <v>42</v>
      </c>
      <c r="B143" s="11"/>
      <c r="C143" s="12"/>
      <c r="D143" s="83">
        <f>SUM(D140:D142)</f>
        <v>6.58</v>
      </c>
      <c r="E143" s="12"/>
      <c r="F143" s="92">
        <f>SUM(F140:F142)</f>
        <v>0</v>
      </c>
      <c r="G143" s="12"/>
      <c r="H143" s="6">
        <f>SUM(H140:H142)</f>
        <v>6.54</v>
      </c>
      <c r="I143" s="6">
        <f>SUM(I140:I142)</f>
        <v>-6.54</v>
      </c>
      <c r="J143" s="37"/>
      <c r="K143" s="110"/>
      <c r="L143" s="43"/>
      <c r="M143" s="43"/>
      <c r="N143" s="69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</row>
    <row r="144" spans="1:258" s="25" customFormat="1" ht="15.75" x14ac:dyDescent="0.25">
      <c r="A144" s="9"/>
      <c r="B144" s="1"/>
      <c r="C144" s="7"/>
      <c r="D144" s="7"/>
      <c r="E144" s="4"/>
      <c r="F144" s="123"/>
      <c r="G144" s="4"/>
      <c r="H144" s="33"/>
      <c r="I144" s="4"/>
      <c r="J144" s="48"/>
      <c r="K144" s="48"/>
      <c r="L144" s="43"/>
      <c r="M144" s="43"/>
      <c r="N144" s="69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</row>
    <row r="145" spans="1:258" s="25" customFormat="1" ht="15.75" x14ac:dyDescent="0.25">
      <c r="A145" s="9" t="s">
        <v>12</v>
      </c>
      <c r="B145" s="1" t="s">
        <v>20</v>
      </c>
      <c r="C145" s="7"/>
      <c r="D145" s="88">
        <v>11824.75</v>
      </c>
      <c r="E145" s="55"/>
      <c r="F145" s="23">
        <v>0</v>
      </c>
      <c r="G145" s="4"/>
      <c r="H145" s="33">
        <v>0</v>
      </c>
      <c r="I145" s="4">
        <f>+H145-F145</f>
        <v>0</v>
      </c>
      <c r="J145" s="34"/>
      <c r="K145" s="34"/>
      <c r="L145" s="43"/>
      <c r="M145" s="43"/>
      <c r="N145" s="69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</row>
    <row r="146" spans="1:258" s="25" customFormat="1" ht="15.75" x14ac:dyDescent="0.25">
      <c r="A146" s="9"/>
      <c r="B146" s="1" t="s">
        <v>19</v>
      </c>
      <c r="C146" s="7"/>
      <c r="D146" s="88"/>
      <c r="E146" s="55"/>
      <c r="F146" s="23"/>
      <c r="G146" s="4"/>
      <c r="H146" s="33"/>
      <c r="I146" s="4">
        <f>+H146-F146</f>
        <v>0</v>
      </c>
      <c r="J146" s="34"/>
      <c r="K146" s="34"/>
      <c r="L146" s="43"/>
      <c r="M146" s="43"/>
      <c r="N146" s="69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</row>
    <row r="147" spans="1:258" s="25" customFormat="1" ht="15.75" x14ac:dyDescent="0.25">
      <c r="A147" s="1"/>
      <c r="B147" s="1" t="s">
        <v>7</v>
      </c>
      <c r="C147" s="7"/>
      <c r="D147" s="88"/>
      <c r="E147" s="55"/>
      <c r="F147" s="23"/>
      <c r="G147" s="4"/>
      <c r="H147" s="33"/>
      <c r="I147" s="4">
        <f>+H147-F147</f>
        <v>0</v>
      </c>
      <c r="J147" s="34"/>
      <c r="K147" s="34"/>
      <c r="L147" s="43"/>
      <c r="M147" s="43"/>
      <c r="N147" s="69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</row>
    <row r="148" spans="1:258" s="42" customFormat="1" ht="15.75" customHeight="1" thickBot="1" x14ac:dyDescent="0.3">
      <c r="A148" s="10" t="s">
        <v>43</v>
      </c>
      <c r="B148" s="11"/>
      <c r="C148" s="12"/>
      <c r="D148" s="83">
        <f>SUM(D145:D147)</f>
        <v>11824.75</v>
      </c>
      <c r="E148" s="12"/>
      <c r="F148" s="92">
        <f>SUM(F145:F147)</f>
        <v>0</v>
      </c>
      <c r="G148" s="12"/>
      <c r="H148" s="26">
        <f>SUM(H145:H147)</f>
        <v>0</v>
      </c>
      <c r="I148" s="6">
        <f>SUM(I145:I147)</f>
        <v>0</v>
      </c>
      <c r="J148" s="37"/>
      <c r="K148" s="110"/>
      <c r="L148" s="41"/>
      <c r="M148" s="41"/>
      <c r="N148" s="77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</row>
    <row r="149" spans="1:258" s="42" customFormat="1" ht="15.75" customHeight="1" x14ac:dyDescent="0.25">
      <c r="A149"/>
      <c r="B149"/>
      <c r="C149" s="15"/>
      <c r="D149" s="15"/>
      <c r="E149"/>
      <c r="F149" s="122"/>
      <c r="G149"/>
      <c r="H149" s="38"/>
      <c r="I149"/>
      <c r="J149" s="8"/>
      <c r="K149" s="8"/>
      <c r="L149" s="41"/>
      <c r="M149" s="41"/>
      <c r="N149" s="77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</row>
    <row r="150" spans="1:258" s="42" customFormat="1" ht="15.75" customHeight="1" x14ac:dyDescent="0.25">
      <c r="A150" s="19" t="s">
        <v>15</v>
      </c>
      <c r="B150"/>
      <c r="C150" s="15"/>
      <c r="D150" s="84">
        <f>+D143-D148</f>
        <v>-11818.17</v>
      </c>
      <c r="E150"/>
      <c r="F150" s="93">
        <f>+F143-F148</f>
        <v>0</v>
      </c>
      <c r="G150"/>
      <c r="H150" s="39">
        <f>+H143-H148</f>
        <v>6.54</v>
      </c>
      <c r="I150" s="18">
        <f>+I143+I148</f>
        <v>-6.54</v>
      </c>
      <c r="J150" s="8"/>
      <c r="K150" s="8"/>
      <c r="L150" s="41"/>
      <c r="M150" s="41"/>
      <c r="N150" s="77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</row>
    <row r="151" spans="1:258" s="42" customFormat="1" ht="15.75" customHeight="1" x14ac:dyDescent="0.25">
      <c r="A151" s="19"/>
      <c r="B151"/>
      <c r="C151" s="15"/>
      <c r="D151" s="84"/>
      <c r="E151"/>
      <c r="F151" s="124"/>
      <c r="G151"/>
      <c r="H151" s="39"/>
      <c r="I151" s="18"/>
      <c r="J151" s="8"/>
      <c r="K151" s="8"/>
      <c r="L151" s="41"/>
      <c r="M151" s="41"/>
      <c r="N151" s="77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</row>
    <row r="152" spans="1:258" s="49" customFormat="1" ht="15.75" x14ac:dyDescent="0.25">
      <c r="A152" s="74" t="s">
        <v>60</v>
      </c>
      <c r="B152" s="25"/>
      <c r="C152" s="25"/>
      <c r="D152" s="85">
        <v>12907</v>
      </c>
      <c r="E152" s="75"/>
      <c r="F152" s="94">
        <f>D153</f>
        <v>-1931</v>
      </c>
      <c r="G152" s="75"/>
      <c r="H152" s="76">
        <f>D153</f>
        <v>-1931</v>
      </c>
      <c r="I152" s="25"/>
      <c r="J152" s="50"/>
      <c r="K152" s="50"/>
      <c r="L152" s="65"/>
      <c r="M152" s="65"/>
      <c r="N152" s="73"/>
      <c r="O152" s="65"/>
      <c r="P152" s="65"/>
      <c r="Q152" s="99"/>
      <c r="R152" s="99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  <c r="IU152" s="63"/>
      <c r="IV152" s="63"/>
      <c r="IW152" s="63"/>
      <c r="IX152" s="63"/>
    </row>
    <row r="153" spans="1:258" s="49" customFormat="1" ht="15.75" x14ac:dyDescent="0.25">
      <c r="A153" s="74" t="s">
        <v>61</v>
      </c>
      <c r="B153" s="25"/>
      <c r="C153" s="25"/>
      <c r="D153" s="86">
        <v>-1931</v>
      </c>
      <c r="E153" s="75"/>
      <c r="F153" s="24">
        <f>F150+F152</f>
        <v>-1931</v>
      </c>
      <c r="G153" s="75"/>
      <c r="H153" s="75">
        <f>H150+H152</f>
        <v>-1924.46</v>
      </c>
      <c r="I153" s="25"/>
      <c r="J153" s="50"/>
      <c r="K153" s="50"/>
      <c r="L153" s="65"/>
      <c r="M153" s="65"/>
      <c r="N153" s="73"/>
      <c r="O153" s="65"/>
      <c r="P153" s="65"/>
      <c r="Q153" s="99"/>
      <c r="R153" s="99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  <c r="IU153" s="63"/>
      <c r="IV153" s="63"/>
      <c r="IW153" s="63"/>
      <c r="IX153" s="63"/>
    </row>
    <row r="154" spans="1:258" s="42" customFormat="1" ht="15.75" customHeight="1" x14ac:dyDescent="0.25">
      <c r="A154" s="19"/>
      <c r="B154"/>
      <c r="C154" s="15"/>
      <c r="D154" s="18"/>
      <c r="E154"/>
      <c r="F154" s="18"/>
      <c r="G154"/>
      <c r="H154" s="39"/>
      <c r="I154" s="18"/>
      <c r="J154" s="8"/>
      <c r="K154" s="8"/>
      <c r="L154" s="41"/>
      <c r="M154" s="41"/>
      <c r="N154" s="77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</row>
    <row r="155" spans="1:258" s="42" customFormat="1" ht="15.75" customHeight="1" x14ac:dyDescent="0.25">
      <c r="A155" s="19"/>
      <c r="B155"/>
      <c r="C155" s="15"/>
      <c r="D155" s="18"/>
      <c r="E155"/>
      <c r="F155" s="18"/>
      <c r="G155"/>
      <c r="H155" s="39"/>
      <c r="I155" s="18"/>
      <c r="J155" s="8"/>
      <c r="K155" s="8"/>
      <c r="L155" s="41"/>
      <c r="M155" s="41"/>
      <c r="N155" s="77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</row>
    <row r="156" spans="1:258" s="42" customFormat="1" ht="15.75" customHeight="1" x14ac:dyDescent="0.25">
      <c r="A156" s="19"/>
      <c r="B156"/>
      <c r="C156" s="15"/>
      <c r="D156" s="18"/>
      <c r="E156"/>
      <c r="F156" s="18"/>
      <c r="G156"/>
      <c r="H156" s="39"/>
      <c r="I156" s="18"/>
      <c r="J156" s="8"/>
      <c r="K156" s="8"/>
      <c r="L156" s="41"/>
      <c r="M156" s="41"/>
      <c r="N156" s="77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</row>
    <row r="157" spans="1:258" s="42" customFormat="1" ht="15.75" customHeight="1" x14ac:dyDescent="0.25">
      <c r="A157" s="421"/>
      <c r="B157" s="421"/>
      <c r="C157" s="421"/>
      <c r="D157" s="421"/>
      <c r="E157" s="421"/>
      <c r="F157" s="421"/>
      <c r="G157" s="421"/>
      <c r="H157" s="421"/>
      <c r="I157" s="421"/>
      <c r="J157" s="421"/>
      <c r="K157" s="98"/>
      <c r="L157" s="41"/>
      <c r="M157" s="41"/>
      <c r="N157" s="77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</row>
    <row r="158" spans="1:258" s="42" customFormat="1" ht="15.75" customHeight="1" x14ac:dyDescent="0.25">
      <c r="A158" s="421"/>
      <c r="B158" s="421"/>
      <c r="C158" s="421"/>
      <c r="D158" s="421"/>
      <c r="E158" s="421"/>
      <c r="F158" s="421"/>
      <c r="G158" s="421"/>
      <c r="H158" s="421"/>
      <c r="I158" s="421"/>
      <c r="J158" s="421"/>
      <c r="K158" s="98"/>
      <c r="L158" s="41"/>
      <c r="M158" s="41"/>
      <c r="N158" s="77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</row>
    <row r="159" spans="1:258" s="42" customFormat="1" ht="19.5" customHeight="1" thickBot="1" x14ac:dyDescent="0.3">
      <c r="A159" s="421"/>
      <c r="B159" s="421"/>
      <c r="C159" s="421"/>
      <c r="D159" s="421"/>
      <c r="E159" s="421"/>
      <c r="F159" s="421"/>
      <c r="G159" s="421"/>
      <c r="H159" s="421"/>
      <c r="I159" s="421"/>
      <c r="J159" s="421"/>
      <c r="K159" s="98"/>
      <c r="L159" s="41"/>
      <c r="M159" s="41"/>
      <c r="N159" s="77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</row>
    <row r="160" spans="1:258" s="42" customFormat="1" ht="17.25" customHeight="1" x14ac:dyDescent="0.25">
      <c r="A160" s="45"/>
      <c r="B160" s="45"/>
      <c r="C160" s="45"/>
      <c r="D160" s="68"/>
      <c r="E160" s="45"/>
      <c r="F160" s="45"/>
      <c r="G160" s="45"/>
      <c r="H160" s="46"/>
      <c r="I160" s="45"/>
      <c r="J160" s="47"/>
      <c r="K160" s="107"/>
      <c r="L160" s="41"/>
      <c r="M160" s="41"/>
      <c r="N160" s="77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</row>
    <row r="161" spans="1:72" s="25" customFormat="1" ht="63" x14ac:dyDescent="0.25">
      <c r="A161" s="121" t="s">
        <v>65</v>
      </c>
      <c r="B161" s="17" t="s">
        <v>25</v>
      </c>
      <c r="C161" s="21"/>
      <c r="D161" s="58" t="str">
        <f>D7</f>
        <v xml:space="preserve">Prior Year  2015/16  Actual thru 10/31/15 </v>
      </c>
      <c r="E161" s="59"/>
      <c r="F161" s="58" t="str">
        <f>F7</f>
        <v>Current Year  Year 16/17  Budget</v>
      </c>
      <c r="G161" s="59"/>
      <c r="H161" s="58" t="str">
        <f>+H139</f>
        <v>Current Year  Year 16/17  Through 10/31/16</v>
      </c>
      <c r="I161" s="125" t="str">
        <f>I7</f>
        <v xml:space="preserve"> Budget Variance F/(U)</v>
      </c>
      <c r="J161" s="126" t="str">
        <f>J7</f>
        <v xml:space="preserve"> % Rec'd / Used</v>
      </c>
      <c r="K161" s="106"/>
      <c r="L161" s="43"/>
      <c r="M161" s="43"/>
      <c r="N161" s="69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</row>
    <row r="162" spans="1:72" s="25" customFormat="1" ht="15.75" x14ac:dyDescent="0.25">
      <c r="A162" s="9" t="s">
        <v>9</v>
      </c>
      <c r="B162" s="1" t="s">
        <v>0</v>
      </c>
      <c r="C162" s="7"/>
      <c r="D162" s="88">
        <v>36091.089999999997</v>
      </c>
      <c r="E162" s="55"/>
      <c r="F162" s="23">
        <v>90000</v>
      </c>
      <c r="G162" s="4"/>
      <c r="H162" s="33">
        <v>42387.9</v>
      </c>
      <c r="I162" s="4">
        <f>+F162-H162</f>
        <v>47612.1</v>
      </c>
      <c r="J162" s="48"/>
      <c r="K162" s="48"/>
      <c r="L162" s="43"/>
      <c r="M162" s="43"/>
      <c r="N162" s="69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</row>
    <row r="163" spans="1:72" s="25" customFormat="1" ht="15.75" x14ac:dyDescent="0.25">
      <c r="A163" s="9"/>
      <c r="B163" s="1" t="s">
        <v>1</v>
      </c>
      <c r="C163" s="7"/>
      <c r="D163" s="88">
        <v>0</v>
      </c>
      <c r="E163" s="55"/>
      <c r="F163" s="23">
        <v>0</v>
      </c>
      <c r="G163" s="4"/>
      <c r="H163" s="33">
        <v>0</v>
      </c>
      <c r="I163" s="4">
        <f>+F163-H163</f>
        <v>0</v>
      </c>
      <c r="J163" s="48"/>
      <c r="K163" s="48"/>
      <c r="L163" s="43"/>
      <c r="M163" s="43"/>
      <c r="N163" s="69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</row>
    <row r="164" spans="1:72" s="25" customFormat="1" ht="15.75" x14ac:dyDescent="0.25">
      <c r="A164" s="9"/>
      <c r="B164" s="1" t="s">
        <v>4</v>
      </c>
      <c r="C164" s="7"/>
      <c r="D164" s="88">
        <v>0</v>
      </c>
      <c r="E164" s="55"/>
      <c r="F164" s="23">
        <v>0</v>
      </c>
      <c r="G164" s="4"/>
      <c r="H164" s="33">
        <v>25.3</v>
      </c>
      <c r="I164" s="4">
        <f>+F164-H164</f>
        <v>-25.3</v>
      </c>
      <c r="J164" s="48"/>
      <c r="K164" s="48"/>
      <c r="L164" s="43"/>
      <c r="M164" s="43"/>
      <c r="N164" s="69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</row>
    <row r="165" spans="1:72" s="25" customFormat="1" ht="16.5" thickBot="1" x14ac:dyDescent="0.3">
      <c r="A165" s="10" t="s">
        <v>42</v>
      </c>
      <c r="B165" s="11"/>
      <c r="C165" s="12"/>
      <c r="D165" s="83">
        <f>SUM(D162:D164)</f>
        <v>36091.089999999997</v>
      </c>
      <c r="E165" s="12"/>
      <c r="F165" s="92">
        <f>SUM(F162:F164)</f>
        <v>90000</v>
      </c>
      <c r="G165" s="12"/>
      <c r="H165" s="6">
        <f>SUM(H162:H164)</f>
        <v>42413.200000000004</v>
      </c>
      <c r="I165" s="6">
        <f>SUM(I162:I164)</f>
        <v>47586.799999999996</v>
      </c>
      <c r="J165" s="37"/>
      <c r="K165" s="110"/>
      <c r="L165" s="43"/>
      <c r="M165" s="43"/>
      <c r="N165" s="69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</row>
    <row r="166" spans="1:72" s="25" customFormat="1" ht="15.75" x14ac:dyDescent="0.25">
      <c r="A166" s="9"/>
      <c r="B166" s="1"/>
      <c r="C166" s="7"/>
      <c r="D166" s="7"/>
      <c r="E166" s="4"/>
      <c r="F166" s="123"/>
      <c r="G166" s="4"/>
      <c r="H166" s="33"/>
      <c r="I166" s="4"/>
      <c r="J166" s="48"/>
      <c r="K166" s="48"/>
      <c r="L166" s="43"/>
      <c r="M166" s="43"/>
      <c r="N166" s="69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</row>
    <row r="167" spans="1:72" s="25" customFormat="1" ht="15.75" x14ac:dyDescent="0.25">
      <c r="A167" s="9" t="s">
        <v>12</v>
      </c>
      <c r="B167" s="1" t="s">
        <v>20</v>
      </c>
      <c r="C167" s="7"/>
      <c r="D167" s="88">
        <v>1332.5</v>
      </c>
      <c r="E167" s="55"/>
      <c r="F167" s="23">
        <v>3350</v>
      </c>
      <c r="G167" s="4"/>
      <c r="H167" s="33">
        <v>0</v>
      </c>
      <c r="I167" s="4">
        <f>+H167-F167</f>
        <v>-3350</v>
      </c>
      <c r="J167" s="34"/>
      <c r="K167" s="34"/>
      <c r="L167" s="43"/>
      <c r="M167" s="43"/>
      <c r="N167" s="69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</row>
    <row r="168" spans="1:72" s="25" customFormat="1" ht="15.75" x14ac:dyDescent="0.25">
      <c r="A168" s="9"/>
      <c r="B168" s="1" t="s">
        <v>19</v>
      </c>
      <c r="C168" s="7"/>
      <c r="D168" s="88"/>
      <c r="E168" s="55"/>
      <c r="F168" s="23"/>
      <c r="G168" s="4"/>
      <c r="H168" s="33"/>
      <c r="I168" s="4">
        <f>+H168-F168</f>
        <v>0</v>
      </c>
      <c r="J168" s="34"/>
      <c r="K168" s="34"/>
      <c r="L168" s="43"/>
      <c r="M168" s="43"/>
      <c r="N168" s="69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</row>
    <row r="169" spans="1:72" s="25" customFormat="1" ht="15.75" x14ac:dyDescent="0.25">
      <c r="A169" s="1"/>
      <c r="B169" s="1" t="s">
        <v>7</v>
      </c>
      <c r="C169" s="7"/>
      <c r="D169" s="88"/>
      <c r="E169" s="55"/>
      <c r="F169" s="23">
        <v>86650</v>
      </c>
      <c r="G169" s="4"/>
      <c r="H169" s="33">
        <v>0</v>
      </c>
      <c r="I169" s="4">
        <f>+H169-F169</f>
        <v>-86650</v>
      </c>
      <c r="J169" s="34"/>
      <c r="K169" s="34"/>
      <c r="L169" s="43"/>
      <c r="M169" s="43"/>
      <c r="N169" s="69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</row>
    <row r="170" spans="1:72" s="25" customFormat="1" ht="16.5" thickBot="1" x14ac:dyDescent="0.3">
      <c r="A170" s="10" t="s">
        <v>43</v>
      </c>
      <c r="B170" s="11"/>
      <c r="C170" s="12"/>
      <c r="D170" s="83">
        <f>SUM(D167:D169)</f>
        <v>1332.5</v>
      </c>
      <c r="E170" s="12"/>
      <c r="F170" s="92">
        <f>SUM(F167:F169)</f>
        <v>90000</v>
      </c>
      <c r="G170" s="12"/>
      <c r="H170" s="26">
        <f>SUM(H167:H169)</f>
        <v>0</v>
      </c>
      <c r="I170" s="6">
        <f>SUM(I167:I169)</f>
        <v>-90000</v>
      </c>
      <c r="J170" s="37"/>
      <c r="K170" s="110"/>
      <c r="L170" s="43"/>
      <c r="M170" s="43"/>
      <c r="N170" s="69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</row>
    <row r="171" spans="1:72" s="25" customFormat="1" ht="15.75" x14ac:dyDescent="0.25">
      <c r="A171"/>
      <c r="B171"/>
      <c r="C171" s="15"/>
      <c r="D171" s="15"/>
      <c r="E171"/>
      <c r="F171" s="122"/>
      <c r="G171"/>
      <c r="H171" s="38"/>
      <c r="I171"/>
      <c r="J171" s="8"/>
      <c r="K171" s="8"/>
      <c r="L171" s="43"/>
      <c r="M171" s="43"/>
      <c r="N171" s="69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</row>
    <row r="172" spans="1:72" s="25" customFormat="1" ht="15.75" x14ac:dyDescent="0.25">
      <c r="A172" s="19" t="s">
        <v>15</v>
      </c>
      <c r="B172"/>
      <c r="C172" s="15"/>
      <c r="D172" s="84">
        <f>+D165-D170</f>
        <v>34758.589999999997</v>
      </c>
      <c r="E172"/>
      <c r="F172" s="93">
        <f>+F165-F170</f>
        <v>0</v>
      </c>
      <c r="G172"/>
      <c r="H172" s="39">
        <f>+H165-H170</f>
        <v>42413.200000000004</v>
      </c>
      <c r="I172" s="18">
        <f>+I165+I170</f>
        <v>-42413.200000000004</v>
      </c>
      <c r="J172" s="8"/>
      <c r="K172" s="8"/>
      <c r="L172" s="43"/>
      <c r="M172" s="43"/>
      <c r="N172" s="69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</row>
    <row r="173" spans="1:72" s="25" customFormat="1" ht="15.75" x14ac:dyDescent="0.25">
      <c r="A173" s="19"/>
      <c r="B173"/>
      <c r="C173" s="15"/>
      <c r="D173" s="84"/>
      <c r="E173"/>
      <c r="F173" s="124"/>
      <c r="G173"/>
      <c r="H173" s="39"/>
      <c r="I173" s="18"/>
      <c r="J173" s="8"/>
      <c r="K173" s="8"/>
      <c r="L173" s="43"/>
      <c r="M173" s="43"/>
      <c r="N173" s="69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</row>
    <row r="174" spans="1:72" s="25" customFormat="1" ht="15.75" x14ac:dyDescent="0.25">
      <c r="A174" s="74" t="s">
        <v>60</v>
      </c>
      <c r="D174" s="85">
        <v>-3425</v>
      </c>
      <c r="E174" s="75"/>
      <c r="F174" s="94">
        <f>D175</f>
        <v>41398</v>
      </c>
      <c r="G174" s="75"/>
      <c r="H174" s="76">
        <f>D175</f>
        <v>41398</v>
      </c>
      <c r="J174" s="50"/>
      <c r="K174" s="50"/>
      <c r="L174" s="43"/>
      <c r="M174" s="43"/>
      <c r="N174" s="69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</row>
    <row r="175" spans="1:72" s="25" customFormat="1" ht="15.75" x14ac:dyDescent="0.25">
      <c r="A175" s="74" t="s">
        <v>61</v>
      </c>
      <c r="D175" s="86">
        <v>41398</v>
      </c>
      <c r="E175" s="75"/>
      <c r="F175" s="24">
        <f>F172+F174</f>
        <v>41398</v>
      </c>
      <c r="G175" s="75"/>
      <c r="H175" s="75">
        <f>H172+H174</f>
        <v>83811.200000000012</v>
      </c>
      <c r="J175" s="50"/>
      <c r="K175" s="50"/>
      <c r="L175" s="43"/>
      <c r="M175" s="43"/>
      <c r="N175" s="69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</row>
    <row r="176" spans="1:72" s="25" customFormat="1" ht="15.75" x14ac:dyDescent="0.25">
      <c r="A176" s="19"/>
      <c r="B176"/>
      <c r="C176" s="15"/>
      <c r="D176" s="84"/>
      <c r="E176"/>
      <c r="F176" s="18"/>
      <c r="G176"/>
      <c r="H176" s="39"/>
      <c r="I176" s="18"/>
      <c r="J176" s="8"/>
      <c r="K176" s="8"/>
      <c r="L176" s="43"/>
      <c r="M176" s="43"/>
      <c r="N176" s="69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</row>
    <row r="177" spans="1:258" s="25" customFormat="1" ht="15.75" x14ac:dyDescent="0.25">
      <c r="A177" s="19"/>
      <c r="B177"/>
      <c r="C177" s="15"/>
      <c r="D177" s="18"/>
      <c r="E177"/>
      <c r="F177" s="18"/>
      <c r="G177"/>
      <c r="H177" s="39"/>
      <c r="I177" s="18"/>
      <c r="J177" s="8"/>
      <c r="K177" s="8"/>
      <c r="L177" s="43"/>
      <c r="M177" s="43"/>
      <c r="N177" s="69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</row>
    <row r="178" spans="1:258" s="25" customFormat="1" ht="15.75" x14ac:dyDescent="0.25">
      <c r="A178" s="19"/>
      <c r="B178"/>
      <c r="C178" s="15"/>
      <c r="D178" s="18"/>
      <c r="E178"/>
      <c r="F178" s="18"/>
      <c r="G178"/>
      <c r="H178" s="39"/>
      <c r="I178" s="18"/>
      <c r="J178" s="8"/>
      <c r="K178" s="8"/>
      <c r="L178" s="43"/>
      <c r="M178" s="43"/>
      <c r="N178" s="69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</row>
    <row r="179" spans="1:258" s="25" customFormat="1" ht="63" x14ac:dyDescent="0.25">
      <c r="A179" s="121" t="s">
        <v>47</v>
      </c>
      <c r="B179" s="17" t="s">
        <v>25</v>
      </c>
      <c r="C179" s="21"/>
      <c r="D179" s="58" t="str">
        <f>D7</f>
        <v xml:space="preserve">Prior Year  2015/16  Actual thru 10/31/15 </v>
      </c>
      <c r="E179" s="59"/>
      <c r="F179" s="58" t="str">
        <f>F7</f>
        <v>Current Year  Year 16/17  Budget</v>
      </c>
      <c r="G179" s="59"/>
      <c r="H179" s="58" t="str">
        <f>+H161</f>
        <v>Current Year  Year 16/17  Through 10/31/16</v>
      </c>
      <c r="I179" s="125" t="str">
        <f>I7</f>
        <v xml:space="preserve"> Budget Variance F/(U)</v>
      </c>
      <c r="J179" s="126" t="str">
        <f>J7</f>
        <v xml:space="preserve"> % Rec'd / Used</v>
      </c>
      <c r="K179" s="106"/>
      <c r="L179" s="43"/>
      <c r="M179" s="43"/>
      <c r="N179" s="69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</row>
    <row r="180" spans="1:258" s="25" customFormat="1" ht="15.75" x14ac:dyDescent="0.25">
      <c r="A180" s="9" t="s">
        <v>9</v>
      </c>
      <c r="B180" s="1" t="s">
        <v>0</v>
      </c>
      <c r="C180" s="7"/>
      <c r="D180" s="7">
        <v>493886.3</v>
      </c>
      <c r="E180" s="4"/>
      <c r="F180" s="91">
        <v>912931</v>
      </c>
      <c r="G180" s="4"/>
      <c r="H180" s="33">
        <v>503276.14</v>
      </c>
      <c r="I180" s="4">
        <f>+F180-H180</f>
        <v>409654.86</v>
      </c>
      <c r="J180" s="48">
        <f>+H180/F180</f>
        <v>0.55127511279603825</v>
      </c>
      <c r="K180" s="48"/>
      <c r="L180" s="43"/>
      <c r="M180" s="43"/>
      <c r="N180" s="69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</row>
    <row r="181" spans="1:258" s="25" customFormat="1" ht="15.75" x14ac:dyDescent="0.25">
      <c r="A181" s="9"/>
      <c r="B181" s="1" t="s">
        <v>4</v>
      </c>
      <c r="C181" s="7"/>
      <c r="D181" s="7">
        <v>0</v>
      </c>
      <c r="E181" s="4"/>
      <c r="F181" s="91">
        <v>0</v>
      </c>
      <c r="G181" s="4"/>
      <c r="H181" s="33">
        <v>0</v>
      </c>
      <c r="I181" s="4">
        <f>+F181-H181</f>
        <v>0</v>
      </c>
      <c r="J181" s="48"/>
      <c r="K181" s="48"/>
      <c r="L181" s="43"/>
      <c r="M181" s="43"/>
      <c r="N181" s="69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</row>
    <row r="182" spans="1:258" s="25" customFormat="1" ht="15.75" x14ac:dyDescent="0.25">
      <c r="A182" s="9"/>
      <c r="B182" s="1" t="s">
        <v>8</v>
      </c>
      <c r="C182" s="7"/>
      <c r="D182" s="7">
        <v>0</v>
      </c>
      <c r="E182" s="4"/>
      <c r="F182" s="91">
        <v>138425</v>
      </c>
      <c r="G182" s="4"/>
      <c r="H182" s="33">
        <v>0</v>
      </c>
      <c r="I182" s="4">
        <f>+F182-H182</f>
        <v>138425</v>
      </c>
      <c r="J182" s="48">
        <f t="shared" ref="J182" si="4">+H182/F182</f>
        <v>0</v>
      </c>
      <c r="K182" s="48"/>
      <c r="L182" s="43"/>
      <c r="M182" s="43"/>
      <c r="N182" s="69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</row>
    <row r="183" spans="1:258" s="25" customFormat="1" ht="16.5" thickBot="1" x14ac:dyDescent="0.3">
      <c r="A183" s="10" t="s">
        <v>42</v>
      </c>
      <c r="B183" s="11"/>
      <c r="C183" s="12"/>
      <c r="D183" s="83">
        <f>SUM(D180:D182)</f>
        <v>493886.3</v>
      </c>
      <c r="E183" s="12"/>
      <c r="F183" s="92">
        <f>SUM(F180:F182)</f>
        <v>1051356</v>
      </c>
      <c r="G183" s="12"/>
      <c r="H183" s="6">
        <f>SUM(H180:H182)</f>
        <v>503276.14</v>
      </c>
      <c r="I183" s="6">
        <f>SUM(I180:I182)</f>
        <v>548079.86</v>
      </c>
      <c r="J183" s="37">
        <f>+H183/F183</f>
        <v>0.4786924124654256</v>
      </c>
      <c r="K183" s="110"/>
      <c r="L183" s="43"/>
      <c r="M183" s="43"/>
      <c r="N183" s="69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</row>
    <row r="184" spans="1:258" s="25" customFormat="1" ht="15.75" x14ac:dyDescent="0.25">
      <c r="A184" s="9"/>
      <c r="B184" s="1"/>
      <c r="C184" s="7"/>
      <c r="D184" s="7"/>
      <c r="E184" s="4"/>
      <c r="F184" s="123"/>
      <c r="G184" s="4"/>
      <c r="H184" s="33"/>
      <c r="I184" s="4"/>
      <c r="J184" s="48"/>
      <c r="K184" s="48"/>
      <c r="L184" s="43"/>
      <c r="M184" s="43"/>
      <c r="N184" s="69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</row>
    <row r="185" spans="1:258" s="25" customFormat="1" ht="15.75" x14ac:dyDescent="0.25">
      <c r="A185" s="9" t="s">
        <v>12</v>
      </c>
      <c r="B185" s="1" t="s">
        <v>19</v>
      </c>
      <c r="C185" s="7"/>
      <c r="D185" s="7">
        <v>5000</v>
      </c>
      <c r="E185" s="4"/>
      <c r="F185" s="91">
        <v>1687150</v>
      </c>
      <c r="G185" s="4"/>
      <c r="H185" s="33">
        <v>601575</v>
      </c>
      <c r="I185" s="4">
        <f>+H185-F185</f>
        <v>-1085575</v>
      </c>
      <c r="J185" s="48">
        <f t="shared" ref="J185" si="5">+H185/F185</f>
        <v>0.35656284266366356</v>
      </c>
      <c r="K185" s="48"/>
      <c r="L185" s="43"/>
      <c r="M185" s="43"/>
      <c r="N185" s="69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</row>
    <row r="186" spans="1:258" s="25" customFormat="1" ht="15.75" x14ac:dyDescent="0.25">
      <c r="A186" s="9"/>
      <c r="B186" s="1" t="s">
        <v>7</v>
      </c>
      <c r="C186" s="7"/>
      <c r="D186" s="7"/>
      <c r="E186" s="4"/>
      <c r="F186" s="91">
        <v>0</v>
      </c>
      <c r="G186" s="4"/>
      <c r="H186" s="33">
        <v>0</v>
      </c>
      <c r="I186" s="4">
        <f>+H186-F186</f>
        <v>0</v>
      </c>
      <c r="J186" s="48"/>
      <c r="K186" s="48"/>
      <c r="L186" s="43"/>
      <c r="M186" s="43"/>
      <c r="N186" s="69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</row>
    <row r="187" spans="1:258" s="42" customFormat="1" ht="15.75" customHeight="1" thickBot="1" x14ac:dyDescent="0.3">
      <c r="A187" s="10" t="s">
        <v>43</v>
      </c>
      <c r="B187" s="11"/>
      <c r="C187" s="12"/>
      <c r="D187" s="83">
        <f>SUM(D185:D186)</f>
        <v>5000</v>
      </c>
      <c r="E187" s="12"/>
      <c r="F187" s="92">
        <f>SUM(F185:F186)</f>
        <v>1687150</v>
      </c>
      <c r="G187" s="12"/>
      <c r="H187" s="26">
        <f>SUM(H185:H186)</f>
        <v>601575</v>
      </c>
      <c r="I187" s="6">
        <f>SUM(I185:I186)</f>
        <v>-1085575</v>
      </c>
      <c r="J187" s="37">
        <f>+H187/F187</f>
        <v>0.35656284266366356</v>
      </c>
      <c r="K187" s="110"/>
      <c r="L187" s="41"/>
      <c r="M187" s="41"/>
      <c r="N187" s="77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</row>
    <row r="188" spans="1:258" s="42" customFormat="1" ht="15.75" customHeight="1" x14ac:dyDescent="0.25">
      <c r="A188"/>
      <c r="B188"/>
      <c r="C188" s="15"/>
      <c r="D188" s="15"/>
      <c r="E188"/>
      <c r="F188" s="122"/>
      <c r="G188"/>
      <c r="H188" s="38"/>
      <c r="I188"/>
      <c r="J188" s="8"/>
      <c r="K188" s="8"/>
      <c r="L188" s="41"/>
      <c r="M188" s="41"/>
      <c r="N188" s="77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</row>
    <row r="189" spans="1:258" s="42" customFormat="1" ht="15.75" customHeight="1" x14ac:dyDescent="0.25">
      <c r="A189" s="19" t="s">
        <v>15</v>
      </c>
      <c r="B189"/>
      <c r="C189" s="15"/>
      <c r="D189" s="84">
        <f>+D183-D187</f>
        <v>488886.3</v>
      </c>
      <c r="E189"/>
      <c r="F189" s="93">
        <f>+F183-F187</f>
        <v>-635794</v>
      </c>
      <c r="G189"/>
      <c r="H189" s="39">
        <f>+H183-H187</f>
        <v>-98298.859999999986</v>
      </c>
      <c r="I189" s="18">
        <f>+I183+I187</f>
        <v>-537495.14</v>
      </c>
      <c r="J189" s="8"/>
      <c r="K189" s="8"/>
      <c r="L189" s="41"/>
      <c r="M189" s="41"/>
      <c r="N189" s="77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</row>
    <row r="190" spans="1:258" s="42" customFormat="1" ht="15.75" customHeight="1" x14ac:dyDescent="0.25">
      <c r="A190" s="19"/>
      <c r="B190"/>
      <c r="C190" s="15"/>
      <c r="D190" s="84"/>
      <c r="E190"/>
      <c r="F190" s="124"/>
      <c r="G190"/>
      <c r="H190" s="39"/>
      <c r="I190" s="18"/>
      <c r="J190" s="8"/>
      <c r="K190" s="8"/>
      <c r="L190" s="41"/>
      <c r="M190" s="41"/>
      <c r="N190" s="77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</row>
    <row r="191" spans="1:258" s="49" customFormat="1" ht="15.75" x14ac:dyDescent="0.25">
      <c r="A191" s="74" t="s">
        <v>60</v>
      </c>
      <c r="B191" s="25"/>
      <c r="C191" s="25"/>
      <c r="D191" s="85">
        <v>611998</v>
      </c>
      <c r="E191" s="75"/>
      <c r="F191" s="94">
        <f>D192</f>
        <v>614793</v>
      </c>
      <c r="G191" s="75"/>
      <c r="H191" s="76">
        <f>D192</f>
        <v>614793</v>
      </c>
      <c r="I191" s="25"/>
      <c r="J191" s="50"/>
      <c r="K191" s="50"/>
      <c r="L191" s="65"/>
      <c r="M191" s="65"/>
      <c r="N191" s="73"/>
      <c r="O191" s="65"/>
      <c r="P191" s="65"/>
      <c r="Q191" s="99"/>
      <c r="R191" s="99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  <c r="IU191" s="63"/>
      <c r="IV191" s="63"/>
      <c r="IW191" s="63"/>
      <c r="IX191" s="63"/>
    </row>
    <row r="192" spans="1:258" s="49" customFormat="1" ht="15.75" x14ac:dyDescent="0.25">
      <c r="A192" s="74" t="s">
        <v>61</v>
      </c>
      <c r="B192" s="25"/>
      <c r="C192" s="25"/>
      <c r="D192" s="86">
        <v>614793</v>
      </c>
      <c r="E192" s="75"/>
      <c r="F192" s="24">
        <f>F189+F191</f>
        <v>-21001</v>
      </c>
      <c r="G192" s="75"/>
      <c r="H192" s="75">
        <f>H189+H191</f>
        <v>516494.14</v>
      </c>
      <c r="I192" s="25"/>
      <c r="J192" s="50"/>
      <c r="K192" s="50"/>
      <c r="L192" s="65"/>
      <c r="M192" s="65"/>
      <c r="N192" s="73"/>
      <c r="O192" s="65"/>
      <c r="P192" s="65"/>
      <c r="Q192" s="99"/>
      <c r="R192" s="99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  <c r="IW192" s="63"/>
      <c r="IX192" s="63"/>
    </row>
    <row r="193" spans="1:72" s="42" customFormat="1" ht="15.75" customHeight="1" x14ac:dyDescent="0.25">
      <c r="A193" s="19"/>
      <c r="B193"/>
      <c r="C193" s="15"/>
      <c r="D193" s="84"/>
      <c r="E193"/>
      <c r="F193" s="18"/>
      <c r="G193"/>
      <c r="H193" s="39"/>
      <c r="I193" s="18"/>
      <c r="J193" s="8"/>
      <c r="K193" s="8"/>
      <c r="L193" s="41"/>
      <c r="M193" s="41"/>
      <c r="N193" s="77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</row>
    <row r="194" spans="1:72" s="25" customFormat="1" ht="16.5" thickBot="1" x14ac:dyDescent="0.3">
      <c r="A194" s="19"/>
      <c r="B194"/>
      <c r="C194" s="15"/>
      <c r="D194" s="18"/>
      <c r="E194"/>
      <c r="F194" s="18"/>
      <c r="G194"/>
      <c r="H194" s="39"/>
      <c r="I194" s="18"/>
      <c r="J194" s="8"/>
      <c r="K194" s="8"/>
      <c r="L194" s="43"/>
      <c r="M194" s="43"/>
      <c r="N194" s="69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</row>
    <row r="195" spans="1:72" s="25" customFormat="1" x14ac:dyDescent="0.25">
      <c r="A195" s="45"/>
      <c r="B195" s="45"/>
      <c r="C195" s="45"/>
      <c r="D195" s="68"/>
      <c r="E195" s="45"/>
      <c r="F195" s="45"/>
      <c r="G195" s="45"/>
      <c r="H195" s="46"/>
      <c r="I195" s="45"/>
      <c r="J195" s="47"/>
      <c r="K195" s="107"/>
      <c r="L195" s="43"/>
      <c r="M195" s="43"/>
      <c r="N195" s="69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</row>
    <row r="196" spans="1:72" s="25" customFormat="1" ht="63" x14ac:dyDescent="0.25">
      <c r="A196" s="121" t="s">
        <v>48</v>
      </c>
      <c r="B196" s="17" t="s">
        <v>25</v>
      </c>
      <c r="C196" s="21"/>
      <c r="D196" s="58" t="str">
        <f>D7</f>
        <v xml:space="preserve">Prior Year  2015/16  Actual thru 10/31/15 </v>
      </c>
      <c r="E196" s="59"/>
      <c r="F196" s="58" t="str">
        <f>F7</f>
        <v>Current Year  Year 16/17  Budget</v>
      </c>
      <c r="G196" s="59"/>
      <c r="H196" s="58" t="str">
        <f>+H179</f>
        <v>Current Year  Year 16/17  Through 10/31/16</v>
      </c>
      <c r="I196" s="125" t="str">
        <f>I7</f>
        <v xml:space="preserve"> Budget Variance F/(U)</v>
      </c>
      <c r="J196" s="126" t="str">
        <f>J7</f>
        <v xml:space="preserve"> % Rec'd / Used</v>
      </c>
      <c r="K196" s="106"/>
      <c r="L196" s="43"/>
      <c r="M196" s="43"/>
      <c r="N196" s="69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</row>
    <row r="197" spans="1:72" s="25" customFormat="1" ht="15.75" x14ac:dyDescent="0.25">
      <c r="A197" s="9" t="s">
        <v>9</v>
      </c>
      <c r="B197" s="1" t="s">
        <v>0</v>
      </c>
      <c r="C197" s="7"/>
      <c r="D197" s="7">
        <v>0</v>
      </c>
      <c r="E197" s="4"/>
      <c r="F197" s="91"/>
      <c r="G197" s="4"/>
      <c r="H197" s="33">
        <v>0</v>
      </c>
      <c r="I197" s="4">
        <f>+F197-H197</f>
        <v>0</v>
      </c>
      <c r="J197" s="48"/>
      <c r="K197" s="48"/>
      <c r="L197" s="43"/>
      <c r="M197" s="43"/>
      <c r="N197" s="69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</row>
    <row r="198" spans="1:72" s="25" customFormat="1" ht="15.75" x14ac:dyDescent="0.25">
      <c r="A198" s="9"/>
      <c r="B198" s="1" t="s">
        <v>4</v>
      </c>
      <c r="C198" s="7"/>
      <c r="D198" s="7">
        <v>0</v>
      </c>
      <c r="E198" s="4"/>
      <c r="F198" s="91"/>
      <c r="G198" s="4"/>
      <c r="H198" s="33">
        <v>0</v>
      </c>
      <c r="I198" s="4">
        <f>+F198-H198</f>
        <v>0</v>
      </c>
      <c r="J198" s="48" t="e">
        <f t="shared" ref="J198:J200" si="6">+H198/F198</f>
        <v>#DIV/0!</v>
      </c>
      <c r="K198" s="48"/>
      <c r="L198" s="43"/>
      <c r="M198" s="43"/>
      <c r="N198" s="69">
        <v>35593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</row>
    <row r="199" spans="1:72" s="25" customFormat="1" ht="15.75" x14ac:dyDescent="0.25">
      <c r="A199" s="9"/>
      <c r="B199" s="1" t="s">
        <v>7</v>
      </c>
      <c r="C199" s="7"/>
      <c r="D199" s="7">
        <v>0</v>
      </c>
      <c r="E199" s="4"/>
      <c r="F199" s="91"/>
      <c r="G199" s="4"/>
      <c r="H199" s="33">
        <v>0</v>
      </c>
      <c r="I199" s="4">
        <f>+F199-H199</f>
        <v>0</v>
      </c>
      <c r="J199" s="48" t="e">
        <f t="shared" si="6"/>
        <v>#DIV/0!</v>
      </c>
      <c r="K199" s="48"/>
      <c r="L199" s="43"/>
      <c r="M199" s="43"/>
      <c r="N199" s="69">
        <v>42808.56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</row>
    <row r="200" spans="1:72" s="25" customFormat="1" ht="15.75" x14ac:dyDescent="0.25">
      <c r="A200" s="9"/>
      <c r="B200" s="62" t="s">
        <v>66</v>
      </c>
      <c r="C200" s="7"/>
      <c r="D200" s="7">
        <v>25200</v>
      </c>
      <c r="E200" s="4"/>
      <c r="F200" s="91">
        <v>50400</v>
      </c>
      <c r="G200" s="4"/>
      <c r="H200" s="33">
        <v>24200</v>
      </c>
      <c r="I200" s="4">
        <f>+F200-H200</f>
        <v>26200</v>
      </c>
      <c r="J200" s="48">
        <f t="shared" si="6"/>
        <v>0.48015873015873017</v>
      </c>
      <c r="K200" s="48"/>
      <c r="L200" s="43"/>
      <c r="M200" s="43"/>
      <c r="N200" s="69">
        <f>SUM(N198:N199)</f>
        <v>78401.56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</row>
    <row r="201" spans="1:72" s="25" customFormat="1" ht="16.5" thickBot="1" x14ac:dyDescent="0.3">
      <c r="A201" s="10" t="s">
        <v>42</v>
      </c>
      <c r="B201" s="11"/>
      <c r="C201" s="12"/>
      <c r="D201" s="83">
        <f>SUM(D197:D200)</f>
        <v>25200</v>
      </c>
      <c r="E201" s="12"/>
      <c r="F201" s="92">
        <f>SUM(F197:F200)</f>
        <v>50400</v>
      </c>
      <c r="G201" s="12"/>
      <c r="H201" s="6">
        <f>SUM(H197:H200)</f>
        <v>24200</v>
      </c>
      <c r="I201" s="6">
        <f>SUM(I197:I199)</f>
        <v>0</v>
      </c>
      <c r="J201" s="35">
        <f>+H201/F201</f>
        <v>0.48015873015873017</v>
      </c>
      <c r="K201" s="111"/>
      <c r="L201" s="43"/>
      <c r="M201" s="43"/>
      <c r="N201" s="69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</row>
    <row r="202" spans="1:72" s="25" customFormat="1" ht="15.75" x14ac:dyDescent="0.25">
      <c r="A202" s="9"/>
      <c r="B202" s="1"/>
      <c r="C202" s="7"/>
      <c r="D202" s="7"/>
      <c r="E202" s="4"/>
      <c r="F202" s="123"/>
      <c r="G202" s="4"/>
      <c r="H202" s="33"/>
      <c r="I202" s="4"/>
      <c r="J202" s="34"/>
      <c r="K202" s="34"/>
      <c r="L202" s="43"/>
      <c r="M202" s="43"/>
      <c r="N202" s="69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</row>
    <row r="203" spans="1:72" s="25" customFormat="1" ht="15.75" x14ac:dyDescent="0.25">
      <c r="A203" s="9" t="s">
        <v>12</v>
      </c>
      <c r="B203" s="1" t="s">
        <v>20</v>
      </c>
      <c r="C203" s="7"/>
      <c r="D203" s="7">
        <v>51611.32</v>
      </c>
      <c r="E203" s="4"/>
      <c r="F203" s="91">
        <v>621000</v>
      </c>
      <c r="G203" s="4"/>
      <c r="H203" s="33">
        <v>78402</v>
      </c>
      <c r="I203" s="4">
        <f>+H203-F203</f>
        <v>-542598</v>
      </c>
      <c r="J203" s="48">
        <f t="shared" ref="J203:J204" si="7">+H203/F203</f>
        <v>0.1262512077294686</v>
      </c>
      <c r="K203" s="48"/>
      <c r="L203" s="43"/>
      <c r="M203" s="43"/>
      <c r="N203" s="69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</row>
    <row r="204" spans="1:72" s="25" customFormat="1" ht="15.75" x14ac:dyDescent="0.25">
      <c r="A204" s="9"/>
      <c r="B204" s="1" t="s">
        <v>18</v>
      </c>
      <c r="C204" s="7"/>
      <c r="D204" s="7">
        <v>870847.43</v>
      </c>
      <c r="E204" s="4"/>
      <c r="F204" s="91">
        <v>2070000</v>
      </c>
      <c r="G204" s="4"/>
      <c r="H204" s="33">
        <v>1320706.1399999999</v>
      </c>
      <c r="I204" s="4">
        <f>+H204-F204</f>
        <v>-749293.8600000001</v>
      </c>
      <c r="J204" s="48">
        <f t="shared" si="7"/>
        <v>0.63802228985507237</v>
      </c>
      <c r="K204" s="48"/>
      <c r="L204" s="43"/>
      <c r="M204" s="43"/>
      <c r="N204" s="69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</row>
    <row r="205" spans="1:72" s="25" customFormat="1" ht="15.75" x14ac:dyDescent="0.25">
      <c r="A205" s="1"/>
      <c r="B205" s="1" t="s">
        <v>56</v>
      </c>
      <c r="C205" s="7"/>
      <c r="D205" s="7"/>
      <c r="E205" s="4"/>
      <c r="F205" s="91"/>
      <c r="G205" s="4"/>
      <c r="H205" s="33"/>
      <c r="I205" s="4">
        <f>+H205-F205</f>
        <v>0</v>
      </c>
      <c r="J205" s="48"/>
      <c r="K205" s="48"/>
      <c r="L205" s="43"/>
      <c r="M205" s="43"/>
      <c r="N205" s="69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</row>
    <row r="206" spans="1:72" s="42" customFormat="1" ht="15.75" customHeight="1" thickBot="1" x14ac:dyDescent="0.3">
      <c r="A206" s="10" t="s">
        <v>43</v>
      </c>
      <c r="B206" s="11"/>
      <c r="C206" s="12"/>
      <c r="D206" s="83">
        <f>SUM(D203:D205)</f>
        <v>922458.75</v>
      </c>
      <c r="E206" s="12"/>
      <c r="F206" s="92">
        <f>SUM(F203:F205)</f>
        <v>2691000</v>
      </c>
      <c r="G206" s="12"/>
      <c r="H206" s="26">
        <f>SUM(H203:H205)</f>
        <v>1399108.14</v>
      </c>
      <c r="I206" s="6">
        <f>SUM(I203:I205)</f>
        <v>-1291891.8600000001</v>
      </c>
      <c r="J206" s="35">
        <f>+H206/F206</f>
        <v>0.51992127090300999</v>
      </c>
      <c r="K206" s="111"/>
      <c r="L206" s="41"/>
      <c r="M206" s="41"/>
      <c r="N206" s="77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</row>
    <row r="207" spans="1:72" s="42" customFormat="1" ht="15.75" customHeight="1" x14ac:dyDescent="0.25">
      <c r="A207"/>
      <c r="B207"/>
      <c r="C207" s="15"/>
      <c r="D207" s="15"/>
      <c r="E207"/>
      <c r="F207" s="122"/>
      <c r="G207"/>
      <c r="H207" s="38"/>
      <c r="I207"/>
      <c r="J207" s="8"/>
      <c r="K207" s="8"/>
      <c r="L207" s="41"/>
      <c r="M207" s="41"/>
      <c r="N207" s="77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</row>
    <row r="208" spans="1:72" s="42" customFormat="1" ht="15.75" x14ac:dyDescent="0.25">
      <c r="A208" s="19" t="s">
        <v>15</v>
      </c>
      <c r="B208"/>
      <c r="C208" s="15"/>
      <c r="D208" s="84">
        <f>+D201-D206</f>
        <v>-897258.75</v>
      </c>
      <c r="E208"/>
      <c r="F208" s="93">
        <f>+F201-F206</f>
        <v>-2640600</v>
      </c>
      <c r="G208"/>
      <c r="H208" s="39">
        <f>+H201-H206</f>
        <v>-1374908.14</v>
      </c>
      <c r="I208" s="18">
        <f>+I201+I206</f>
        <v>-1291891.8600000001</v>
      </c>
      <c r="J208" s="8"/>
      <c r="K208" s="8"/>
      <c r="L208" s="41"/>
      <c r="M208" s="41"/>
      <c r="N208" s="77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</row>
    <row r="209" spans="1:258" s="42" customFormat="1" ht="15.75" customHeight="1" x14ac:dyDescent="0.25">
      <c r="A209" s="19"/>
      <c r="B209"/>
      <c r="C209" s="15"/>
      <c r="D209" s="84"/>
      <c r="E209"/>
      <c r="F209" s="124"/>
      <c r="G209"/>
      <c r="H209" s="39"/>
      <c r="I209" s="18"/>
      <c r="J209" s="8"/>
      <c r="K209" s="8"/>
      <c r="L209" s="41"/>
      <c r="M209" s="41"/>
      <c r="N209" s="77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</row>
    <row r="210" spans="1:258" s="49" customFormat="1" ht="15.75" x14ac:dyDescent="0.25">
      <c r="A210" s="74" t="s">
        <v>60</v>
      </c>
      <c r="B210" s="25"/>
      <c r="C210" s="25"/>
      <c r="D210" s="85">
        <v>6461695</v>
      </c>
      <c r="E210" s="75"/>
      <c r="F210" s="94">
        <f>D211</f>
        <v>5316856</v>
      </c>
      <c r="G210" s="75"/>
      <c r="H210" s="76">
        <f>D211</f>
        <v>5316856</v>
      </c>
      <c r="I210" s="25"/>
      <c r="J210" s="50"/>
      <c r="K210" s="50"/>
      <c r="L210" s="65"/>
      <c r="M210" s="65"/>
      <c r="N210" s="73"/>
      <c r="O210" s="65"/>
      <c r="P210" s="65"/>
      <c r="Q210" s="99"/>
      <c r="R210" s="99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  <c r="IU210" s="63"/>
      <c r="IV210" s="63"/>
      <c r="IW210" s="63"/>
      <c r="IX210" s="63"/>
    </row>
    <row r="211" spans="1:258" s="49" customFormat="1" ht="15.75" x14ac:dyDescent="0.25">
      <c r="A211" s="74" t="s">
        <v>61</v>
      </c>
      <c r="B211" s="25"/>
      <c r="C211" s="25"/>
      <c r="D211" s="86">
        <v>5316856</v>
      </c>
      <c r="E211" s="75"/>
      <c r="F211" s="24">
        <f>F208+F210</f>
        <v>2676256</v>
      </c>
      <c r="G211" s="75"/>
      <c r="H211" s="75">
        <f>H208+H210</f>
        <v>3941947.8600000003</v>
      </c>
      <c r="I211" s="25"/>
      <c r="J211" s="50"/>
      <c r="K211" s="50"/>
      <c r="L211" s="65"/>
      <c r="M211" s="65"/>
      <c r="N211" s="73"/>
      <c r="O211" s="65"/>
      <c r="P211" s="65"/>
      <c r="Q211" s="99"/>
      <c r="R211" s="99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  <c r="IU211" s="63"/>
      <c r="IV211" s="63"/>
      <c r="IW211" s="63"/>
      <c r="IX211" s="63"/>
    </row>
    <row r="212" spans="1:258" s="42" customFormat="1" ht="16.5" customHeight="1" x14ac:dyDescent="0.25">
      <c r="A212" s="19"/>
      <c r="B212"/>
      <c r="C212" s="15"/>
      <c r="D212" s="18"/>
      <c r="E212"/>
      <c r="F212" s="18"/>
      <c r="G212"/>
      <c r="H212" s="39"/>
      <c r="I212" s="18"/>
      <c r="J212" s="8"/>
      <c r="K212" s="8"/>
      <c r="L212" s="41"/>
      <c r="M212" s="41"/>
      <c r="N212" s="77"/>
      <c r="O212" s="41"/>
      <c r="P212" s="41"/>
      <c r="Q212" s="41"/>
      <c r="R212" s="41"/>
      <c r="S212" s="41">
        <v>-99643</v>
      </c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</row>
    <row r="213" spans="1:258" s="25" customFormat="1" ht="16.5" thickBot="1" x14ac:dyDescent="0.3">
      <c r="A213" s="19"/>
      <c r="B213"/>
      <c r="C213" s="15"/>
      <c r="D213" s="18"/>
      <c r="E213"/>
      <c r="F213" s="18"/>
      <c r="G213"/>
      <c r="H213" s="39"/>
      <c r="I213" s="18"/>
      <c r="J213" s="8"/>
      <c r="K213" s="8"/>
      <c r="L213" s="43"/>
      <c r="M213" s="43"/>
      <c r="N213" s="69"/>
      <c r="O213" s="43"/>
      <c r="P213" s="43"/>
      <c r="Q213" s="43"/>
      <c r="R213" s="43"/>
      <c r="S213" s="43">
        <v>2410806</v>
      </c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</row>
    <row r="214" spans="1:258" s="25" customFormat="1" x14ac:dyDescent="0.25">
      <c r="A214" s="45"/>
      <c r="B214" s="45"/>
      <c r="C214" s="45"/>
      <c r="D214" s="68"/>
      <c r="E214" s="45"/>
      <c r="F214" s="45"/>
      <c r="G214" s="45"/>
      <c r="H214" s="46"/>
      <c r="I214" s="45"/>
      <c r="J214" s="47"/>
      <c r="K214" s="107"/>
      <c r="L214" s="43"/>
      <c r="M214" s="43"/>
      <c r="N214" s="69"/>
      <c r="O214" s="43"/>
      <c r="P214" s="43"/>
      <c r="Q214" s="43"/>
      <c r="R214" s="43"/>
      <c r="S214" s="43">
        <f>SUM(S212:S213)</f>
        <v>2311163</v>
      </c>
      <c r="T214" s="43"/>
      <c r="U214" s="43"/>
      <c r="V214" s="43"/>
      <c r="W214" s="416" t="s">
        <v>78</v>
      </c>
      <c r="X214" s="416"/>
      <c r="Y214" s="416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</row>
    <row r="215" spans="1:258" s="25" customFormat="1" ht="63" x14ac:dyDescent="0.25">
      <c r="A215" s="121" t="s">
        <v>49</v>
      </c>
      <c r="B215" s="17" t="s">
        <v>25</v>
      </c>
      <c r="C215" s="21"/>
      <c r="D215" s="58" t="str">
        <f>D7</f>
        <v xml:space="preserve">Prior Year  2015/16  Actual thru 10/31/15 </v>
      </c>
      <c r="E215" s="59"/>
      <c r="F215" s="58" t="str">
        <f>F7</f>
        <v>Current Year  Year 16/17  Budget</v>
      </c>
      <c r="G215" s="59"/>
      <c r="H215" s="58" t="str">
        <f>+H196</f>
        <v>Current Year  Year 16/17  Through 10/31/16</v>
      </c>
      <c r="I215" s="125" t="str">
        <f>I7</f>
        <v xml:space="preserve"> Budget Variance F/(U)</v>
      </c>
      <c r="J215" s="126" t="str">
        <f>J7</f>
        <v xml:space="preserve"> % Rec'd / Used</v>
      </c>
      <c r="K215" s="106"/>
      <c r="L215" s="43"/>
      <c r="M215" s="43"/>
      <c r="N215" s="69"/>
      <c r="O215" s="43"/>
      <c r="P215" s="43"/>
      <c r="Q215" s="43"/>
      <c r="R215" s="43"/>
      <c r="S215" s="43"/>
      <c r="T215" s="43"/>
      <c r="U215" s="43"/>
      <c r="V215" s="43"/>
      <c r="W215" s="43"/>
      <c r="X215" s="43" t="s">
        <v>75</v>
      </c>
      <c r="Y215" s="43" t="s">
        <v>76</v>
      </c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</row>
    <row r="216" spans="1:258" s="25" customFormat="1" ht="15.75" x14ac:dyDescent="0.25">
      <c r="A216" s="9" t="s">
        <v>9</v>
      </c>
      <c r="B216" s="1" t="s">
        <v>5</v>
      </c>
      <c r="C216" s="7"/>
      <c r="D216" s="7">
        <f>+X221</f>
        <v>1728709.1700000002</v>
      </c>
      <c r="E216" s="4"/>
      <c r="F216" s="91">
        <v>3299000</v>
      </c>
      <c r="G216" s="4"/>
      <c r="H216" s="33">
        <f>+Y221</f>
        <v>1719150.21</v>
      </c>
      <c r="I216" s="4">
        <f>+F216-H216</f>
        <v>1579849.79</v>
      </c>
      <c r="J216" s="34">
        <f>+H216/F216</f>
        <v>0.52111252197635649</v>
      </c>
      <c r="K216" s="34"/>
      <c r="L216" s="43"/>
      <c r="M216" s="43"/>
      <c r="N216" s="69"/>
      <c r="O216" s="43"/>
      <c r="P216" s="43"/>
      <c r="Q216" s="43"/>
      <c r="R216" s="43"/>
      <c r="S216" s="43"/>
      <c r="T216" s="43"/>
      <c r="U216" s="43"/>
      <c r="W216" s="1" t="s">
        <v>5</v>
      </c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</row>
    <row r="217" spans="1:258" s="25" customFormat="1" ht="15.75" x14ac:dyDescent="0.25">
      <c r="A217" s="9"/>
      <c r="B217" s="1" t="s">
        <v>6</v>
      </c>
      <c r="C217" s="7"/>
      <c r="D217" s="7">
        <f>+X226</f>
        <v>37056.53</v>
      </c>
      <c r="E217" s="4"/>
      <c r="F217" s="91">
        <v>72500</v>
      </c>
      <c r="G217" s="4"/>
      <c r="H217" s="33">
        <f>+Y226</f>
        <v>39945.11</v>
      </c>
      <c r="I217" s="4">
        <f>+F217-H217</f>
        <v>32554.89</v>
      </c>
      <c r="J217" s="34">
        <f t="shared" ref="J217:J220" si="8">+H217/F217</f>
        <v>0.55096703448275863</v>
      </c>
      <c r="K217" s="34"/>
      <c r="L217" s="43"/>
      <c r="M217" s="43"/>
      <c r="N217" s="69"/>
      <c r="O217" s="43"/>
      <c r="P217" s="43"/>
      <c r="Q217" s="43"/>
      <c r="R217" s="43"/>
      <c r="S217" s="43"/>
      <c r="T217" s="43"/>
      <c r="U217" s="43"/>
      <c r="V217" s="43"/>
      <c r="W217" s="43">
        <v>4064</v>
      </c>
      <c r="X217" s="69">
        <v>1505132.09</v>
      </c>
      <c r="Y217" s="69">
        <v>1481532.79</v>
      </c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</row>
    <row r="218" spans="1:258" s="25" customFormat="1" ht="15.75" x14ac:dyDescent="0.25">
      <c r="A218" s="9"/>
      <c r="B218" s="1" t="s">
        <v>4</v>
      </c>
      <c r="C218" s="7"/>
      <c r="D218" s="7">
        <f>+X233</f>
        <v>423.90999999999997</v>
      </c>
      <c r="E218" s="4"/>
      <c r="F218" s="91">
        <v>720</v>
      </c>
      <c r="G218" s="4"/>
      <c r="H218" s="33">
        <f>+Y233</f>
        <v>346.75</v>
      </c>
      <c r="I218" s="4">
        <f>+F218-H218</f>
        <v>373.25</v>
      </c>
      <c r="J218" s="34">
        <f t="shared" si="8"/>
        <v>0.48159722222222223</v>
      </c>
      <c r="K218" s="34"/>
      <c r="L218" s="43"/>
      <c r="M218" s="43" t="s">
        <v>86</v>
      </c>
      <c r="N218" s="69"/>
      <c r="O218" s="43"/>
      <c r="P218" s="43"/>
      <c r="Q218" s="43"/>
      <c r="R218" s="43"/>
      <c r="S218" s="43"/>
      <c r="T218" s="43"/>
      <c r="U218" s="43"/>
      <c r="V218" s="43"/>
      <c r="W218" s="43">
        <v>4065</v>
      </c>
      <c r="X218" s="69">
        <v>188008.78</v>
      </c>
      <c r="Y218" s="69">
        <v>185880.42</v>
      </c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</row>
    <row r="219" spans="1:258" s="25" customFormat="1" ht="15.75" x14ac:dyDescent="0.25">
      <c r="A219" s="9"/>
      <c r="B219" s="1" t="s">
        <v>67</v>
      </c>
      <c r="C219" s="7"/>
      <c r="D219" s="7">
        <f>+X228</f>
        <v>27860.54</v>
      </c>
      <c r="E219" s="4"/>
      <c r="F219" s="91">
        <v>70000</v>
      </c>
      <c r="G219" s="4"/>
      <c r="H219" s="33">
        <f>+Y228</f>
        <v>25911.8</v>
      </c>
      <c r="I219" s="4">
        <f>+F219-H219</f>
        <v>44088.2</v>
      </c>
      <c r="J219" s="34">
        <f t="shared" si="8"/>
        <v>0.3701685714285714</v>
      </c>
      <c r="K219" s="34"/>
      <c r="L219" s="43"/>
      <c r="M219" s="43"/>
      <c r="N219" s="69"/>
      <c r="O219" s="43"/>
      <c r="P219" s="43"/>
      <c r="Q219" s="43"/>
      <c r="R219" s="43"/>
      <c r="S219" s="43"/>
      <c r="T219" s="43"/>
      <c r="U219" s="43"/>
      <c r="V219" s="43"/>
      <c r="W219" s="43">
        <v>4067</v>
      </c>
      <c r="X219" s="69">
        <v>18016.3</v>
      </c>
      <c r="Y219" s="69">
        <v>2900</v>
      </c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</row>
    <row r="220" spans="1:258" s="25" customFormat="1" ht="16.5" thickBot="1" x14ac:dyDescent="0.3">
      <c r="A220" s="9"/>
      <c r="B220" s="62" t="s">
        <v>7</v>
      </c>
      <c r="C220" s="7"/>
      <c r="D220" s="7">
        <f>+X239</f>
        <v>7606.08</v>
      </c>
      <c r="E220" s="4"/>
      <c r="F220" s="91">
        <v>500</v>
      </c>
      <c r="G220" s="4"/>
      <c r="H220" s="33">
        <f>+Y239</f>
        <v>7100</v>
      </c>
      <c r="I220" s="4">
        <f>+F220-H220</f>
        <v>-6600</v>
      </c>
      <c r="J220" s="34">
        <f t="shared" si="8"/>
        <v>14.2</v>
      </c>
      <c r="K220" s="34"/>
      <c r="L220" s="43"/>
      <c r="M220" s="43"/>
      <c r="N220" s="69"/>
      <c r="O220" s="43"/>
      <c r="P220" s="43"/>
      <c r="Q220" s="43"/>
      <c r="R220" s="43"/>
      <c r="S220" s="43"/>
      <c r="T220" s="43"/>
      <c r="U220" s="43"/>
      <c r="V220" s="43"/>
      <c r="W220" s="43">
        <v>4085</v>
      </c>
      <c r="X220" s="69">
        <v>17552</v>
      </c>
      <c r="Y220" s="69">
        <v>48837</v>
      </c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</row>
    <row r="221" spans="1:258" s="25" customFormat="1" ht="16.5" thickBot="1" x14ac:dyDescent="0.3">
      <c r="A221" s="10" t="s">
        <v>42</v>
      </c>
      <c r="B221" s="11"/>
      <c r="C221" s="12"/>
      <c r="D221" s="83">
        <f>SUM(D216:D220)</f>
        <v>1801656.2300000002</v>
      </c>
      <c r="E221" s="12"/>
      <c r="F221" s="92">
        <f>SUM(F216:F220)</f>
        <v>3442720</v>
      </c>
      <c r="G221" s="12"/>
      <c r="H221" s="6">
        <f>SUM(H216:H220)</f>
        <v>1792453.87</v>
      </c>
      <c r="I221" s="6">
        <f>SUM(I216:I219)</f>
        <v>1656866.13</v>
      </c>
      <c r="J221" s="35">
        <f>+H221/F221</f>
        <v>0.52065049437653954</v>
      </c>
      <c r="K221" s="111"/>
      <c r="L221" s="43"/>
      <c r="M221" s="417" t="s">
        <v>75</v>
      </c>
      <c r="N221" s="418"/>
      <c r="O221" s="418"/>
      <c r="P221" s="418"/>
      <c r="Q221" s="418"/>
      <c r="R221" s="418"/>
      <c r="S221" s="419"/>
      <c r="T221" s="43"/>
      <c r="U221" s="43"/>
      <c r="V221" s="43"/>
      <c r="W221" s="43"/>
      <c r="X221" s="101">
        <f>SUM(X217:X220)</f>
        <v>1728709.1700000002</v>
      </c>
      <c r="Y221" s="101">
        <f>SUM(Y217:Y220)</f>
        <v>1719150.21</v>
      </c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</row>
    <row r="222" spans="1:258" s="25" customFormat="1" ht="15.75" x14ac:dyDescent="0.25">
      <c r="A222" s="9"/>
      <c r="B222" s="1"/>
      <c r="C222" s="7"/>
      <c r="D222" s="7"/>
      <c r="E222" s="4"/>
      <c r="F222" s="123"/>
      <c r="G222" s="4"/>
      <c r="H222" s="33"/>
      <c r="I222" s="4"/>
      <c r="J222" s="34"/>
      <c r="K222" s="34"/>
      <c r="L222" s="112" t="s">
        <v>83</v>
      </c>
      <c r="M222" s="116" t="s">
        <v>68</v>
      </c>
      <c r="N222" s="105" t="s">
        <v>69</v>
      </c>
      <c r="O222" s="104" t="s">
        <v>17</v>
      </c>
      <c r="P222" s="104" t="s">
        <v>80</v>
      </c>
      <c r="Q222" s="104" t="s">
        <v>79</v>
      </c>
      <c r="R222" s="104" t="s">
        <v>82</v>
      </c>
      <c r="S222" s="104" t="s">
        <v>81</v>
      </c>
      <c r="T222" s="43"/>
      <c r="U222" s="43"/>
      <c r="V222" s="43"/>
      <c r="W222" s="1" t="s">
        <v>6</v>
      </c>
      <c r="X222" s="69"/>
      <c r="Y222" s="69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</row>
    <row r="223" spans="1:258" s="25" customFormat="1" ht="15.75" x14ac:dyDescent="0.25">
      <c r="A223" s="9" t="s">
        <v>12</v>
      </c>
      <c r="B223" s="1" t="s">
        <v>28</v>
      </c>
      <c r="C223" s="7"/>
      <c r="D223" s="7">
        <f>+M228+Q228</f>
        <v>80151.520000000004</v>
      </c>
      <c r="E223" s="4"/>
      <c r="F223" s="91">
        <v>212360</v>
      </c>
      <c r="G223" s="4"/>
      <c r="H223" s="33">
        <f>+M237+Q237</f>
        <v>132278.64000000001</v>
      </c>
      <c r="I223" s="4">
        <f t="shared" ref="I223:I229" si="9">+H223-F223</f>
        <v>-80081.359999999986</v>
      </c>
      <c r="J223" s="34">
        <f>+H223/F223</f>
        <v>0.6228980975701639</v>
      </c>
      <c r="K223" s="34"/>
      <c r="L223" s="112">
        <v>24</v>
      </c>
      <c r="M223" s="69">
        <v>2002.5</v>
      </c>
      <c r="N223" s="69">
        <v>7303.17</v>
      </c>
      <c r="O223" s="69"/>
      <c r="P223" s="69"/>
      <c r="Q223" s="69"/>
      <c r="R223" s="69"/>
      <c r="S223" s="69"/>
      <c r="T223" s="118">
        <f>SUM(M223:S223)</f>
        <v>9305.67</v>
      </c>
      <c r="U223" s="43"/>
      <c r="V223" s="43"/>
      <c r="W223" s="43">
        <v>4035</v>
      </c>
      <c r="X223" s="69">
        <v>-766.88</v>
      </c>
      <c r="Y223" s="69">
        <v>675</v>
      </c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</row>
    <row r="224" spans="1:258" s="25" customFormat="1" ht="15.75" x14ac:dyDescent="0.25">
      <c r="A224" s="9"/>
      <c r="B224" s="1" t="s">
        <v>16</v>
      </c>
      <c r="C224" s="7"/>
      <c r="D224" s="7">
        <v>0</v>
      </c>
      <c r="E224" s="4"/>
      <c r="F224" s="91">
        <v>0</v>
      </c>
      <c r="G224" s="4"/>
      <c r="H224" s="33">
        <v>0</v>
      </c>
      <c r="I224" s="4">
        <f t="shared" si="9"/>
        <v>0</v>
      </c>
      <c r="J224" s="34"/>
      <c r="K224" s="34"/>
      <c r="L224" s="112">
        <v>30</v>
      </c>
      <c r="M224" s="69"/>
      <c r="N224" s="69"/>
      <c r="O224" s="69"/>
      <c r="P224" s="69"/>
      <c r="Q224" s="69">
        <v>890.3</v>
      </c>
      <c r="R224" s="69"/>
      <c r="S224" s="69"/>
      <c r="T224" s="118">
        <f t="shared" ref="T224:T228" si="10">SUM(M224:S224)</f>
        <v>890.3</v>
      </c>
      <c r="U224" s="43"/>
      <c r="V224" s="43"/>
      <c r="W224" s="43">
        <v>4066</v>
      </c>
      <c r="X224" s="69">
        <v>30363.41</v>
      </c>
      <c r="Y224" s="69">
        <v>32240.11</v>
      </c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</row>
    <row r="225" spans="1:72" s="25" customFormat="1" ht="15.75" x14ac:dyDescent="0.25">
      <c r="A225" s="9"/>
      <c r="B225" s="1" t="s">
        <v>20</v>
      </c>
      <c r="C225" s="7"/>
      <c r="D225" s="7">
        <f>+N228</f>
        <v>157799.15999999997</v>
      </c>
      <c r="E225" s="4"/>
      <c r="F225" s="91">
        <v>749956</v>
      </c>
      <c r="G225" s="4"/>
      <c r="H225" s="33">
        <f>+N237</f>
        <v>70417.16</v>
      </c>
      <c r="I225" s="4">
        <f t="shared" si="9"/>
        <v>-679538.84</v>
      </c>
      <c r="J225" s="34">
        <f t="shared" ref="J225:J229" si="11">+H225/F225</f>
        <v>9.3895055176570361E-2</v>
      </c>
      <c r="K225" s="34"/>
      <c r="L225" s="112">
        <v>75</v>
      </c>
      <c r="M225" s="69"/>
      <c r="N225" s="69"/>
      <c r="O225" s="69"/>
      <c r="P225" s="69"/>
      <c r="Q225" s="69">
        <v>4</v>
      </c>
      <c r="R225" s="69"/>
      <c r="S225" s="69"/>
      <c r="T225" s="118">
        <f t="shared" si="10"/>
        <v>4</v>
      </c>
      <c r="U225" s="43"/>
      <c r="V225" s="43"/>
      <c r="W225" s="43">
        <v>4084</v>
      </c>
      <c r="X225" s="69">
        <v>7460</v>
      </c>
      <c r="Y225" s="69">
        <v>7030</v>
      </c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</row>
    <row r="226" spans="1:72" s="25" customFormat="1" ht="15.75" x14ac:dyDescent="0.25">
      <c r="A226" s="9"/>
      <c r="B226" s="1" t="s">
        <v>17</v>
      </c>
      <c r="C226" s="7"/>
      <c r="D226" s="7">
        <f>+O228</f>
        <v>9095.25</v>
      </c>
      <c r="E226" s="4"/>
      <c r="F226" s="91">
        <v>44500</v>
      </c>
      <c r="G226" s="4"/>
      <c r="H226" s="33">
        <f>+O237</f>
        <v>2831.54</v>
      </c>
      <c r="I226" s="4">
        <f t="shared" si="9"/>
        <v>-41668.46</v>
      </c>
      <c r="J226" s="34">
        <f t="shared" si="11"/>
        <v>6.3630112359550559E-2</v>
      </c>
      <c r="K226" s="34"/>
      <c r="L226" s="112">
        <v>76</v>
      </c>
      <c r="M226" s="69">
        <v>59026.85</v>
      </c>
      <c r="N226" s="69">
        <v>70825.56</v>
      </c>
      <c r="O226" s="69">
        <v>5897.1</v>
      </c>
      <c r="P226" s="69">
        <v>145619.88</v>
      </c>
      <c r="Q226" s="69">
        <v>9654.85</v>
      </c>
      <c r="R226" s="69">
        <v>1095234.58</v>
      </c>
      <c r="S226" s="69">
        <v>157564.45000000001</v>
      </c>
      <c r="T226" s="118">
        <f t="shared" si="10"/>
        <v>1543823.27</v>
      </c>
      <c r="U226" s="43"/>
      <c r="V226" s="43"/>
      <c r="W226" s="43"/>
      <c r="X226" s="101">
        <f>SUM(X223:X225)</f>
        <v>37056.53</v>
      </c>
      <c r="Y226" s="101">
        <f>SUM(Y223:Y225)</f>
        <v>39945.11</v>
      </c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</row>
    <row r="227" spans="1:72" s="25" customFormat="1" ht="15.75" x14ac:dyDescent="0.25">
      <c r="A227" s="9"/>
      <c r="B227" s="1" t="s">
        <v>18</v>
      </c>
      <c r="C227" s="7"/>
      <c r="D227" s="7">
        <f>+P228</f>
        <v>145619.88</v>
      </c>
      <c r="E227" s="4"/>
      <c r="F227" s="91">
        <v>250000</v>
      </c>
      <c r="G227" s="4"/>
      <c r="H227" s="33">
        <f>+P237</f>
        <v>44995</v>
      </c>
      <c r="I227" s="4">
        <f t="shared" si="9"/>
        <v>-205005</v>
      </c>
      <c r="J227" s="34">
        <f t="shared" si="11"/>
        <v>0.17998</v>
      </c>
      <c r="K227" s="34"/>
      <c r="L227" s="112">
        <v>78</v>
      </c>
      <c r="M227" s="69">
        <v>7894.14</v>
      </c>
      <c r="N227" s="69">
        <v>79670.429999999993</v>
      </c>
      <c r="O227" s="69">
        <v>3198.15</v>
      </c>
      <c r="P227" s="69"/>
      <c r="Q227" s="69">
        <v>678.88</v>
      </c>
      <c r="R227" s="69"/>
      <c r="S227" s="69"/>
      <c r="T227" s="118">
        <f t="shared" si="10"/>
        <v>91441.599999999991</v>
      </c>
      <c r="U227" s="43"/>
      <c r="V227" s="43"/>
      <c r="W227" s="1" t="s">
        <v>67</v>
      </c>
      <c r="X227" s="69"/>
      <c r="Y227" s="69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</row>
    <row r="228" spans="1:72" s="42" customFormat="1" ht="16.5" thickBot="1" x14ac:dyDescent="0.3">
      <c r="A228" s="9"/>
      <c r="B228" s="1" t="s">
        <v>70</v>
      </c>
      <c r="C228" s="7"/>
      <c r="D228" s="7">
        <v>0</v>
      </c>
      <c r="E228" s="4"/>
      <c r="F228" s="91">
        <v>0</v>
      </c>
      <c r="G228" s="4"/>
      <c r="H228" s="33">
        <v>0</v>
      </c>
      <c r="I228" s="4">
        <f t="shared" si="9"/>
        <v>0</v>
      </c>
      <c r="J228" s="34"/>
      <c r="K228" s="34"/>
      <c r="L228" s="113"/>
      <c r="M228" s="117">
        <f>SUM(M223:M227)</f>
        <v>68923.490000000005</v>
      </c>
      <c r="N228" s="117">
        <f t="shared" ref="N228:S228" si="12">SUM(N223:N227)</f>
        <v>157799.15999999997</v>
      </c>
      <c r="O228" s="117">
        <f t="shared" si="12"/>
        <v>9095.25</v>
      </c>
      <c r="P228" s="117">
        <f t="shared" si="12"/>
        <v>145619.88</v>
      </c>
      <c r="Q228" s="117">
        <f t="shared" si="12"/>
        <v>11228.029999999999</v>
      </c>
      <c r="R228" s="117">
        <f t="shared" si="12"/>
        <v>1095234.58</v>
      </c>
      <c r="S228" s="117">
        <f t="shared" si="12"/>
        <v>157564.45000000001</v>
      </c>
      <c r="T228" s="119">
        <f t="shared" si="10"/>
        <v>1645464.84</v>
      </c>
      <c r="U228" s="41"/>
      <c r="V228" s="41"/>
      <c r="W228" s="41">
        <v>4004</v>
      </c>
      <c r="X228" s="102">
        <v>27860.54</v>
      </c>
      <c r="Y228" s="102">
        <v>25911.8</v>
      </c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</row>
    <row r="229" spans="1:72" s="42" customFormat="1" ht="15.75" customHeight="1" thickBot="1" x14ac:dyDescent="0.3">
      <c r="A229" s="1"/>
      <c r="B229" s="1" t="s">
        <v>50</v>
      </c>
      <c r="C229" s="7"/>
      <c r="D229" s="7">
        <f>+R228+S228</f>
        <v>1252799.03</v>
      </c>
      <c r="E229" s="4"/>
      <c r="F229" s="91">
        <v>2548000</v>
      </c>
      <c r="G229" s="4"/>
      <c r="H229" s="33">
        <f>+R237+S237</f>
        <v>1114162.68</v>
      </c>
      <c r="I229" s="4">
        <f t="shared" si="9"/>
        <v>-1433837.32</v>
      </c>
      <c r="J229" s="34">
        <f t="shared" si="11"/>
        <v>0.43726949764521189</v>
      </c>
      <c r="K229" s="34"/>
      <c r="L229" s="113"/>
      <c r="M229" s="417" t="s">
        <v>76</v>
      </c>
      <c r="N229" s="418"/>
      <c r="O229" s="418"/>
      <c r="P229" s="418"/>
      <c r="Q229" s="418"/>
      <c r="R229" s="418"/>
      <c r="S229" s="419"/>
      <c r="T229" s="41"/>
      <c r="U229" s="41"/>
      <c r="V229" s="41"/>
      <c r="W229" s="41"/>
      <c r="X229" s="77"/>
      <c r="Y229" s="77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</row>
    <row r="230" spans="1:72" s="42" customFormat="1" ht="15.75" customHeight="1" thickBot="1" x14ac:dyDescent="0.3">
      <c r="A230" s="10" t="s">
        <v>43</v>
      </c>
      <c r="B230" s="11"/>
      <c r="C230" s="12"/>
      <c r="D230" s="83">
        <f>SUM(D223:D229)</f>
        <v>1645464.84</v>
      </c>
      <c r="E230" s="12"/>
      <c r="F230" s="92">
        <f>SUM(F223:F229)</f>
        <v>3804816</v>
      </c>
      <c r="G230" s="12"/>
      <c r="H230" s="26">
        <f>SUM(H223:H229)</f>
        <v>1364685.02</v>
      </c>
      <c r="I230" s="6">
        <f>SUM(I223:I229)</f>
        <v>-2440130.98</v>
      </c>
      <c r="J230" s="37">
        <f>+H230/F230</f>
        <v>0.35867306592486997</v>
      </c>
      <c r="K230" s="110"/>
      <c r="L230" s="113"/>
      <c r="M230" s="116" t="s">
        <v>68</v>
      </c>
      <c r="N230" s="105" t="s">
        <v>69</v>
      </c>
      <c r="O230" s="104" t="s">
        <v>17</v>
      </c>
      <c r="P230" s="104" t="s">
        <v>80</v>
      </c>
      <c r="Q230" s="104" t="s">
        <v>79</v>
      </c>
      <c r="R230" s="104" t="s">
        <v>82</v>
      </c>
      <c r="S230" s="104" t="s">
        <v>81</v>
      </c>
      <c r="T230" s="41"/>
      <c r="U230" s="41"/>
      <c r="V230" s="41"/>
      <c r="W230" s="1" t="s">
        <v>4</v>
      </c>
      <c r="X230" s="77"/>
      <c r="Y230" s="77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</row>
    <row r="231" spans="1:72" s="25" customFormat="1" ht="15.75" x14ac:dyDescent="0.25">
      <c r="A231"/>
      <c r="B231"/>
      <c r="C231" s="15"/>
      <c r="D231" s="15"/>
      <c r="E231"/>
      <c r="F231" s="122" t="s">
        <v>55</v>
      </c>
      <c r="G231"/>
      <c r="H231" s="38"/>
      <c r="I231"/>
      <c r="J231" s="8"/>
      <c r="K231" s="8"/>
      <c r="L231" s="112">
        <v>24</v>
      </c>
      <c r="M231" s="69">
        <v>25691.23</v>
      </c>
      <c r="N231" s="69">
        <v>6430</v>
      </c>
      <c r="O231" s="69"/>
      <c r="P231" s="69"/>
      <c r="Q231" s="69"/>
      <c r="R231" s="69"/>
      <c r="S231" s="69"/>
      <c r="T231" s="118">
        <f t="shared" ref="T231:T237" si="13">SUM(M231:S231)</f>
        <v>32121.23</v>
      </c>
      <c r="U231" s="43"/>
      <c r="V231" s="43"/>
      <c r="W231" s="43">
        <v>4070</v>
      </c>
      <c r="X231" s="69">
        <v>289.49</v>
      </c>
      <c r="Y231" s="69">
        <v>346.75</v>
      </c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</row>
    <row r="232" spans="1:72" s="25" customFormat="1" ht="15.75" x14ac:dyDescent="0.25">
      <c r="A232" s="19" t="s">
        <v>15</v>
      </c>
      <c r="B232"/>
      <c r="C232" s="15"/>
      <c r="D232" s="84">
        <f>+D221-D230</f>
        <v>156191.39000000013</v>
      </c>
      <c r="E232"/>
      <c r="F232" s="93">
        <f>+F221-F230</f>
        <v>-362096</v>
      </c>
      <c r="G232"/>
      <c r="H232" s="39">
        <f>+H221-H230</f>
        <v>427768.85000000009</v>
      </c>
      <c r="I232" s="18">
        <f>+I221-I230</f>
        <v>4096997.11</v>
      </c>
      <c r="J232" s="8"/>
      <c r="K232" s="8"/>
      <c r="L232" s="112">
        <v>30</v>
      </c>
      <c r="M232" s="69"/>
      <c r="N232" s="69"/>
      <c r="O232" s="69"/>
      <c r="P232" s="69"/>
      <c r="Q232" s="69"/>
      <c r="R232" s="69"/>
      <c r="S232" s="69"/>
      <c r="T232" s="118">
        <f t="shared" si="13"/>
        <v>0</v>
      </c>
      <c r="U232" s="43"/>
      <c r="V232" s="43"/>
      <c r="W232" s="43">
        <v>4074</v>
      </c>
      <c r="X232" s="69">
        <v>134.41999999999999</v>
      </c>
      <c r="Y232" s="69">
        <v>0</v>
      </c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</row>
    <row r="233" spans="1:72" s="25" customFormat="1" ht="15.75" x14ac:dyDescent="0.25">
      <c r="A233" s="19"/>
      <c r="B233"/>
      <c r="C233" s="15"/>
      <c r="D233" s="18"/>
      <c r="E233"/>
      <c r="F233" s="124"/>
      <c r="G233"/>
      <c r="H233" s="39"/>
      <c r="I233" s="18"/>
      <c r="J233" s="8"/>
      <c r="K233" s="8"/>
      <c r="L233" s="112">
        <v>75</v>
      </c>
      <c r="M233" s="69"/>
      <c r="N233" s="69"/>
      <c r="O233" s="69"/>
      <c r="P233" s="69"/>
      <c r="Q233" s="69"/>
      <c r="R233" s="69"/>
      <c r="S233" s="69"/>
      <c r="T233" s="118">
        <f t="shared" si="13"/>
        <v>0</v>
      </c>
      <c r="U233" s="43"/>
      <c r="V233" s="43"/>
      <c r="W233" s="43"/>
      <c r="X233" s="101">
        <f>SUM(X231:X232)</f>
        <v>423.90999999999997</v>
      </c>
      <c r="Y233" s="101">
        <f>SUM(Y231:Y232)</f>
        <v>346.75</v>
      </c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</row>
    <row r="234" spans="1:72" s="25" customFormat="1" ht="15.75" x14ac:dyDescent="0.25">
      <c r="A234" s="19" t="s">
        <v>71</v>
      </c>
      <c r="B234"/>
      <c r="C234" s="15"/>
      <c r="D234" s="84">
        <v>10899960</v>
      </c>
      <c r="E234" s="18" t="s">
        <v>55</v>
      </c>
      <c r="F234" s="93">
        <f>+D235</f>
        <v>11243310</v>
      </c>
      <c r="G234"/>
      <c r="H234" s="39">
        <f>+D235</f>
        <v>11243310</v>
      </c>
      <c r="I234" s="18"/>
      <c r="J234" s="8"/>
      <c r="K234" s="8"/>
      <c r="L234" s="112">
        <v>76</v>
      </c>
      <c r="M234" s="69">
        <v>98091.1</v>
      </c>
      <c r="N234" s="69">
        <v>63987.16</v>
      </c>
      <c r="O234" s="69">
        <v>2831.54</v>
      </c>
      <c r="P234" s="69">
        <v>44995</v>
      </c>
      <c r="Q234" s="69">
        <v>8496.31</v>
      </c>
      <c r="R234" s="69">
        <v>1066707.8999999999</v>
      </c>
      <c r="S234" s="69">
        <v>47454.78</v>
      </c>
      <c r="T234" s="118">
        <f t="shared" si="13"/>
        <v>1332563.79</v>
      </c>
      <c r="U234" s="43"/>
      <c r="V234" s="43"/>
      <c r="W234" s="62" t="s">
        <v>7</v>
      </c>
      <c r="X234" s="69"/>
      <c r="Y234" s="69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</row>
    <row r="235" spans="1:72" s="25" customFormat="1" ht="15.75" x14ac:dyDescent="0.25">
      <c r="A235" s="19" t="s">
        <v>72</v>
      </c>
      <c r="B235"/>
      <c r="C235" s="15"/>
      <c r="D235" s="84">
        <v>11243310</v>
      </c>
      <c r="E235" s="18" t="s">
        <v>55</v>
      </c>
      <c r="F235" s="93">
        <f>F234+F232</f>
        <v>10881214</v>
      </c>
      <c r="G235"/>
      <c r="H235" s="39">
        <f>+H232+H234</f>
        <v>11671078.85</v>
      </c>
      <c r="I235" s="18"/>
      <c r="J235" s="8"/>
      <c r="K235" s="8"/>
      <c r="L235" s="112">
        <v>78</v>
      </c>
      <c r="M235" s="69"/>
      <c r="N235" s="69"/>
      <c r="O235" s="69"/>
      <c r="P235" s="69"/>
      <c r="Q235" s="69"/>
      <c r="R235" s="69"/>
      <c r="S235" s="69"/>
      <c r="T235" s="118">
        <f t="shared" si="13"/>
        <v>0</v>
      </c>
      <c r="U235" s="43"/>
      <c r="V235" s="43"/>
      <c r="W235" s="43">
        <v>4062</v>
      </c>
      <c r="X235" s="69">
        <v>7400</v>
      </c>
      <c r="Y235" s="69">
        <v>7100</v>
      </c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</row>
    <row r="236" spans="1:72" s="25" customFormat="1" ht="15.75" x14ac:dyDescent="0.25">
      <c r="A236" s="19"/>
      <c r="B236"/>
      <c r="C236" s="15"/>
      <c r="D236" s="84"/>
      <c r="E236" s="18"/>
      <c r="F236" s="93"/>
      <c r="G236"/>
      <c r="H236" s="39"/>
      <c r="I236" s="18"/>
      <c r="J236" s="8"/>
      <c r="K236" s="8"/>
      <c r="L236" s="128"/>
      <c r="M236" s="69"/>
      <c r="N236" s="69"/>
      <c r="O236" s="69"/>
      <c r="P236" s="69"/>
      <c r="Q236" s="69"/>
      <c r="R236" s="69"/>
      <c r="S236" s="69"/>
      <c r="T236" s="118"/>
      <c r="U236" s="43"/>
      <c r="V236" s="43"/>
      <c r="W236" s="43"/>
      <c r="X236" s="69"/>
      <c r="Y236" s="69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</row>
    <row r="237" spans="1:72" s="25" customFormat="1" ht="15.75" x14ac:dyDescent="0.25">
      <c r="B237" s="22" t="s">
        <v>51</v>
      </c>
      <c r="G237"/>
      <c r="H237" s="22"/>
      <c r="I237" s="18"/>
      <c r="J237" s="8"/>
      <c r="K237" s="8"/>
      <c r="L237" s="112"/>
      <c r="M237" s="101">
        <f>SUM(M231:M235)</f>
        <v>123782.33</v>
      </c>
      <c r="N237" s="101">
        <f t="shared" ref="N237:S237" si="14">SUM(N231:N235)</f>
        <v>70417.16</v>
      </c>
      <c r="O237" s="101">
        <f t="shared" si="14"/>
        <v>2831.54</v>
      </c>
      <c r="P237" s="101">
        <f t="shared" si="14"/>
        <v>44995</v>
      </c>
      <c r="Q237" s="101">
        <f t="shared" si="14"/>
        <v>8496.31</v>
      </c>
      <c r="R237" s="101">
        <f t="shared" si="14"/>
        <v>1066707.8999999999</v>
      </c>
      <c r="S237" s="101">
        <f t="shared" si="14"/>
        <v>47454.78</v>
      </c>
      <c r="T237" s="119">
        <f t="shared" si="13"/>
        <v>1364685.02</v>
      </c>
      <c r="U237" s="43"/>
      <c r="V237" s="79"/>
      <c r="W237" s="43">
        <v>4090</v>
      </c>
      <c r="X237" s="69">
        <v>206.08</v>
      </c>
      <c r="Y237" s="69">
        <v>0</v>
      </c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</row>
    <row r="238" spans="1:72" ht="15.75" x14ac:dyDescent="0.25">
      <c r="A238" s="19"/>
      <c r="B238" s="40" t="s">
        <v>84</v>
      </c>
      <c r="C238" s="15"/>
      <c r="D238" s="18"/>
      <c r="F238" s="18"/>
      <c r="I238" s="18"/>
      <c r="L238" s="114"/>
      <c r="W238" s="100">
        <v>4097</v>
      </c>
      <c r="X238" s="61">
        <v>0</v>
      </c>
      <c r="Y238" s="61">
        <v>0</v>
      </c>
    </row>
    <row r="239" spans="1:72" ht="15.75" x14ac:dyDescent="0.25">
      <c r="A239" s="19"/>
      <c r="C239" s="15"/>
      <c r="D239" s="18"/>
      <c r="F239" s="18"/>
      <c r="I239" s="18"/>
      <c r="L239" s="115"/>
      <c r="X239" s="103">
        <f>SUM(X235:X238)</f>
        <v>7606.08</v>
      </c>
      <c r="Y239" s="103">
        <f>SUM(Y235:Y238)</f>
        <v>7100</v>
      </c>
    </row>
    <row r="240" spans="1:72" x14ac:dyDescent="0.25">
      <c r="A240" s="25"/>
      <c r="B240" s="25"/>
      <c r="C240" s="25"/>
      <c r="D240" s="56"/>
      <c r="E240" s="25"/>
      <c r="F240" s="56"/>
      <c r="G240" s="25"/>
      <c r="I240" s="22"/>
      <c r="J240" s="50"/>
      <c r="K240" s="50"/>
      <c r="N240" s="61" t="s">
        <v>73</v>
      </c>
      <c r="O240" s="1" t="s">
        <v>74</v>
      </c>
      <c r="X240" s="61"/>
      <c r="Y240" s="61"/>
    </row>
    <row r="241" spans="1:25" ht="18.75" x14ac:dyDescent="0.3">
      <c r="A241" s="25"/>
      <c r="B241" s="25"/>
      <c r="C241" s="25"/>
      <c r="D241" s="27"/>
      <c r="E241" s="25"/>
      <c r="F241" s="25"/>
      <c r="G241" s="25"/>
      <c r="H241" s="57" t="s">
        <v>55</v>
      </c>
      <c r="I241" s="22"/>
      <c r="J241" s="50"/>
      <c r="K241" s="50"/>
      <c r="N241" s="80">
        <v>12927938</v>
      </c>
      <c r="O241" s="81">
        <v>13007388</v>
      </c>
      <c r="W241" s="1" t="s">
        <v>77</v>
      </c>
      <c r="X241" s="103">
        <f>+X221+X226+X228+X233+X239</f>
        <v>1801656.2300000002</v>
      </c>
      <c r="Y241" s="103">
        <f>+Y221+Y226+Y228+Y233+Y239</f>
        <v>1792453.87</v>
      </c>
    </row>
    <row r="242" spans="1:25" x14ac:dyDescent="0.25">
      <c r="N242" s="61">
        <v>0</v>
      </c>
      <c r="O242" s="81">
        <v>-82500</v>
      </c>
      <c r="X242" s="61"/>
      <c r="Y242" s="61"/>
    </row>
    <row r="243" spans="1:25" x14ac:dyDescent="0.25">
      <c r="N243" s="61">
        <v>246950</v>
      </c>
      <c r="O243" s="81">
        <v>246950</v>
      </c>
      <c r="X243" s="61"/>
      <c r="Y243" s="61"/>
    </row>
    <row r="244" spans="1:25" x14ac:dyDescent="0.25">
      <c r="N244" s="61">
        <f>SUM(N241:N243)</f>
        <v>13174888</v>
      </c>
      <c r="O244" s="81">
        <f>SUM(O241:O243)</f>
        <v>13171838</v>
      </c>
      <c r="P244" s="82">
        <f>N244-O244</f>
        <v>3050</v>
      </c>
      <c r="Q244" s="82"/>
      <c r="R244" s="82"/>
      <c r="X244" s="61"/>
      <c r="Y244" s="61"/>
    </row>
    <row r="245" spans="1:25" x14ac:dyDescent="0.25">
      <c r="X245" s="61"/>
      <c r="Y245" s="61"/>
    </row>
    <row r="246" spans="1:25" x14ac:dyDescent="0.25">
      <c r="X246" s="61"/>
      <c r="Y246" s="61"/>
    </row>
    <row r="247" spans="1:25" x14ac:dyDescent="0.25">
      <c r="X247" s="61"/>
      <c r="Y247" s="61"/>
    </row>
    <row r="248" spans="1:25" x14ac:dyDescent="0.25">
      <c r="N248" s="61">
        <v>13116112</v>
      </c>
      <c r="X248" s="61"/>
      <c r="Y248" s="61"/>
    </row>
    <row r="249" spans="1:25" x14ac:dyDescent="0.25">
      <c r="N249" s="61">
        <v>-93800</v>
      </c>
      <c r="X249" s="61"/>
      <c r="Y249" s="61"/>
    </row>
    <row r="250" spans="1:25" x14ac:dyDescent="0.25">
      <c r="N250" s="61">
        <f>SUM(N248:N249)</f>
        <v>13022312</v>
      </c>
      <c r="X250" s="61"/>
      <c r="Y250" s="61"/>
    </row>
    <row r="251" spans="1:25" x14ac:dyDescent="0.25">
      <c r="X251" s="61"/>
      <c r="Y251" s="61"/>
    </row>
    <row r="252" spans="1:25" x14ac:dyDescent="0.25">
      <c r="X252" s="61"/>
      <c r="Y252" s="61"/>
    </row>
    <row r="253" spans="1:25" x14ac:dyDescent="0.25">
      <c r="N253" s="61">
        <f>N244-N250</f>
        <v>152576</v>
      </c>
      <c r="X253" s="61"/>
      <c r="Y253" s="61"/>
    </row>
  </sheetData>
  <mergeCells count="77">
    <mergeCell ref="CM21:CW21"/>
    <mergeCell ref="A1:J1"/>
    <mergeCell ref="A2:J2"/>
    <mergeCell ref="A3:J3"/>
    <mergeCell ref="A4:J4"/>
    <mergeCell ref="L21:X21"/>
    <mergeCell ref="Y21:AI21"/>
    <mergeCell ref="AJ21:AT21"/>
    <mergeCell ref="AU21:BE21"/>
    <mergeCell ref="BF21:BP21"/>
    <mergeCell ref="BQ21:CA21"/>
    <mergeCell ref="CB21:CL21"/>
    <mergeCell ref="HO21:HY21"/>
    <mergeCell ref="CX21:DH21"/>
    <mergeCell ref="DI21:DS21"/>
    <mergeCell ref="DT21:ED21"/>
    <mergeCell ref="EE21:EO21"/>
    <mergeCell ref="EP21:EZ21"/>
    <mergeCell ref="FA21:FK21"/>
    <mergeCell ref="EP39:EZ39"/>
    <mergeCell ref="HZ21:IJ21"/>
    <mergeCell ref="IK21:IU21"/>
    <mergeCell ref="IV21:IX21"/>
    <mergeCell ref="L39:X39"/>
    <mergeCell ref="Y39:AI39"/>
    <mergeCell ref="AJ39:AT39"/>
    <mergeCell ref="AU39:BE39"/>
    <mergeCell ref="BF39:BP39"/>
    <mergeCell ref="BQ39:CA39"/>
    <mergeCell ref="CB39:CL39"/>
    <mergeCell ref="FL21:FV21"/>
    <mergeCell ref="FW21:GG21"/>
    <mergeCell ref="GH21:GR21"/>
    <mergeCell ref="GS21:HC21"/>
    <mergeCell ref="HD21:HN21"/>
    <mergeCell ref="CM39:CW39"/>
    <mergeCell ref="CX39:DH39"/>
    <mergeCell ref="DI39:DS39"/>
    <mergeCell ref="DT39:ED39"/>
    <mergeCell ref="EE39:EO39"/>
    <mergeCell ref="HO39:HY39"/>
    <mergeCell ref="HZ39:IJ39"/>
    <mergeCell ref="IK39:IU39"/>
    <mergeCell ref="IV39:IX39"/>
    <mergeCell ref="L60:X60"/>
    <mergeCell ref="Y60:AI60"/>
    <mergeCell ref="AJ60:AT60"/>
    <mergeCell ref="AU60:BE60"/>
    <mergeCell ref="BF60:BP60"/>
    <mergeCell ref="BQ60:CA60"/>
    <mergeCell ref="FA39:FK39"/>
    <mergeCell ref="FL39:FV39"/>
    <mergeCell ref="FW39:GG39"/>
    <mergeCell ref="GH39:GR39"/>
    <mergeCell ref="GS39:HC39"/>
    <mergeCell ref="HD39:HN39"/>
    <mergeCell ref="HZ60:IJ60"/>
    <mergeCell ref="IK60:IU60"/>
    <mergeCell ref="IV60:IX60"/>
    <mergeCell ref="A157:J159"/>
    <mergeCell ref="EP60:EZ60"/>
    <mergeCell ref="FA60:FK60"/>
    <mergeCell ref="FL60:FV60"/>
    <mergeCell ref="FW60:GG60"/>
    <mergeCell ref="GH60:GR60"/>
    <mergeCell ref="GS60:HC60"/>
    <mergeCell ref="CB60:CL60"/>
    <mergeCell ref="CM60:CW60"/>
    <mergeCell ref="CX60:DH60"/>
    <mergeCell ref="DI60:DS60"/>
    <mergeCell ref="DT60:ED60"/>
    <mergeCell ref="EE60:EO60"/>
    <mergeCell ref="W214:Y214"/>
    <mergeCell ref="M221:S221"/>
    <mergeCell ref="M229:S229"/>
    <mergeCell ref="HD60:HN60"/>
    <mergeCell ref="HO60:HY60"/>
  </mergeCells>
  <printOptions horizontalCentered="1" verticalCentered="1"/>
  <pageMargins left="0.7" right="0.7" top="0.75" bottom="0.75" header="0.3" footer="0.3"/>
  <pageSetup orientation="landscape" r:id="rId1"/>
  <rowBreaks count="11" manualBreakCount="11">
    <brk id="26" max="9" man="1"/>
    <brk id="47" max="9" man="1"/>
    <brk id="64" max="9" man="1"/>
    <brk id="81" max="9" man="1"/>
    <brk id="101" max="9" man="1"/>
    <brk id="120" max="9" man="1"/>
    <brk id="137" max="9" man="1"/>
    <brk id="159" max="9" man="1"/>
    <brk id="177" max="9" man="1"/>
    <brk id="194" max="9" man="1"/>
    <brk id="2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 GF-SUMMARY FY19</vt:lpstr>
      <vt:lpstr>GF-SUMMARY FY18</vt:lpstr>
      <vt:lpstr>GF-DETAIL</vt:lpstr>
      <vt:lpstr>Fund Balance</vt:lpstr>
      <vt:lpstr>Summary-Salaries</vt:lpstr>
      <vt:lpstr>Other Funds</vt:lpstr>
      <vt:lpstr>' GF-SUMMARY FY19'!Print_Area</vt:lpstr>
      <vt:lpstr>'GF-DETAIL'!Print_Area</vt:lpstr>
      <vt:lpstr>'GF-SUMMARY FY18'!Print_Area</vt:lpstr>
      <vt:lpstr>'Other Funds'!Print_Area</vt:lpstr>
      <vt:lpstr>' GF-SUMMARY FY19'!Print_Titles</vt:lpstr>
      <vt:lpstr>'GF-DETAIL'!Print_Titles</vt:lpstr>
      <vt:lpstr>'GF-SUMMARY FY18'!Print_Titles</vt:lpstr>
      <vt:lpstr>'Other Funds'!Print_Titles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jbaptist</dc:creator>
  <cp:lastModifiedBy>VOB_CLERK</cp:lastModifiedBy>
  <cp:lastPrinted>2018-11-16T17:38:07Z</cp:lastPrinted>
  <dcterms:created xsi:type="dcterms:W3CDTF">2009-11-16T17:05:10Z</dcterms:created>
  <dcterms:modified xsi:type="dcterms:W3CDTF">2018-11-16T18:56:52Z</dcterms:modified>
</cp:coreProperties>
</file>